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firstSheet="11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externalReferences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<sst xmlns="http://schemas.openxmlformats.org/spreadsheetml/2006/main" count="1627" uniqueCount="569">
  <si>
    <t>2023年部门预算公开表</t>
  </si>
  <si>
    <t>单位编码：</t>
  </si>
  <si>
    <t>单位名称：</t>
  </si>
  <si>
    <t>益阳市赫山区世通学校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</si>
  <si>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</si>
  <si>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</si>
  <si>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</si>
  <si>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</si>
  <si>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</si>
  <si>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</si>
  <si>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</si>
  <si>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</si>
  <si>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</si>
  <si>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</si>
  <si>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</si>
  <si>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</si>
  <si>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</si>
  <si>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</si>
  <si>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</si>
  <si>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</si>
  <si>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</si>
  <si>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</si>
  <si>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</si>
  <si>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</si>
  <si>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</si>
  <si>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</si>
  <si>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</si>
  <si>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</si>
  <si>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</si>
  <si>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</si>
  <si>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</si>
  <si>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</si>
  <si>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</si>
  <si>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</si>
  <si>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</si>
  <si>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</si>
  <si>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</si>
  <si>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</si>
  <si>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</si>
  <si>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</si>
  <si>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</si>
  <si>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</si>
  <si>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</si>
  <si>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</si>
  <si>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</si>
  <si>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</si>
  <si>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</si>
  <si>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</si>
  <si>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</si>
  <si>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</si>
  <si>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</si>
  <si>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</si>
  <si>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</si>
  <si>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</si>
  <si>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</si>
  <si>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</si>
  <si>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</si>
  <si>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</si>
  <si>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</si>
  <si>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</si>
  <si>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</si>
  <si>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</si>
  <si>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</si>
  <si>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</si>
  <si>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</si>
  <si>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</si>
  <si>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</si>
  <si>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</si>
  <si>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</si>
  <si>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</si>
  <si>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</si>
  <si>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</si>
  <si>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</si>
  <si>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</si>
  <si>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</si>
  <si>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</si>
  <si>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</si>
  <si>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</si>
  <si>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</si>
  <si>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</si>
  <si>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</si>
  <si>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</si>
  <si>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</si>
  <si>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</si>
  <si>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</si>
  <si>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</si>
  <si>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</si>
  <si>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</si>
  <si>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</si>
  <si>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</si>
  <si>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</si>
  <si>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</si>
  <si>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</si>
  <si>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</si>
  <si>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</si>
  <si>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</si>
  <si>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</si>
  <si>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</si>
  <si>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</si>
  <si>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</si>
  <si>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</si>
  <si>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</si>
  <si>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</si>
  <si>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</si>
  <si>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</si>
  <si>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</si>
  <si>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</si>
  <si>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</si>
  <si>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</si>
  <si>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</si>
  <si>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</si>
  <si>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</si>
  <si>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</si>
  <si>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</si>
  <si>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</si>
  <si>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</si>
  <si>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</si>
  <si>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</si>
  <si>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</si>
  <si>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</si>
  <si>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</si>
  <si>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</si>
  <si>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</si>
  <si>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</si>
  <si>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</si>
  <si>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</si>
  <si>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</si>
  <si>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</si>
  <si>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</si>
  <si>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</si>
  <si>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</si>
  <si>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</si>
  <si>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</si>
  <si>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</si>
  <si>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</si>
  <si>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</si>
  <si>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</si>
  <si>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</si>
  <si>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</si>
  <si>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</si>
  <si>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</si>
  <si>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</si>
  <si>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</si>
  <si>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</si>
  <si>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</si>
  <si>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</si>
  <si>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</si>
  <si>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</si>
  <si>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</si>
  <si>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</si>
  <si>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</si>
  <si>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</si>
  <si>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</si>
  <si>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</si>
  <si>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</si>
  <si>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</si>
  <si>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</si>
  <si>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</si>
  <si>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</si>
  <si>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</si>
  <si>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</si>
  <si>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</si>
  <si>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</si>
  <si>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</si>
  <si>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</si>
  <si>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</si>
  <si>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</si>
  <si>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</si>
  <si>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</si>
  <si>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</si>
  <si>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</si>
  <si>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</si>
  <si>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</si>
  <si>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</si>
  <si>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</si>
  <si>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</si>
  <si>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</si>
  <si>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</si>
  <si>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</si>
  <si>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</si>
  <si>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</si>
  <si>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</si>
  <si>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</si>
  <si>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</si>
  <si>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</si>
  <si>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</si>
  <si>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</si>
  <si>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</si>
  <si>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</si>
  <si>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</si>
  <si>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</si>
  <si>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</si>
  <si>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</si>
  <si>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</si>
  <si>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</si>
  <si>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</si>
  <si>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</si>
  <si>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</si>
  <si>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</si>
  <si>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</si>
  <si>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</si>
  <si>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</si>
  <si>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</si>
  <si>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</si>
  <si>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</si>
  <si>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</si>
  <si>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</si>
  <si>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</si>
  <si>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</si>
  <si>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</si>
  <si>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</si>
  <si>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</si>
  <si>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</si>
  <si>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</si>
  <si>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</si>
  <si>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</si>
  <si>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</si>
  <si>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</si>
  <si>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</si>
  <si>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</si>
  <si>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</si>
  <si>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</si>
  <si>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</si>
  <si>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</si>
  <si>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</si>
  <si>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</si>
  <si>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</si>
  <si>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</si>
  <si>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</si>
  <si>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</si>
  <si>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</si>
  <si>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</si>
  <si>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</si>
  <si>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</si>
  <si>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</si>
  <si>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</si>
  <si>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</si>
  <si>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</si>
  <si>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</si>
  <si>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</si>
  <si>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</si>
  <si>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</si>
  <si>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</si>
  <si>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</si>
  <si>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</si>
  <si>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</si>
  <si>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</si>
  <si>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</si>
  <si>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</si>
  <si>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</si>
  <si>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</si>
  <si>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</si>
  <si>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</si>
  <si>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</si>
  <si>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</si>
  <si>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</si>
  <si>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</si>
  <si>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</si>
  <si>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</si>
  <si>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</si>
  <si>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</si>
  <si>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</si>
  <si>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</si>
  <si>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</si>
  <si>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</si>
  <si>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</si>
  <si>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</si>
  <si>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</si>
  <si>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</si>
  <si>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</si>
  <si>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</si>
  <si>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</si>
  <si>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</si>
  <si>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</si>
  <si>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</si>
  <si>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</si>
  <si>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</si>
  <si>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</si>
  <si>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</si>
  <si>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</si>
  <si>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</si>
  <si>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</si>
  <si>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</si>
  <si>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</si>
  <si>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</si>
  <si>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</si>
  <si>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</si>
  <si>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</si>
  <si>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</si>
  <si>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</si>
  <si>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</si>
  <si>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</si>
  <si>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</si>
  <si>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</si>
  <si>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</si>
  <si>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</si>
  <si>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</si>
  <si>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</si>
  <si>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</si>
  <si>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</si>
  <si>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</si>
  <si>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</si>
  <si>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</si>
  <si>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</si>
  <si>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</si>
  <si>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</si>
  <si>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</si>
  <si>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</si>
  <si>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</si>
  <si>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</si>
  <si>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</si>
  <si>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</si>
  <si>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</si>
  <si>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</si>
  <si>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</si>
  <si>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</si>
  <si>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</si>
  <si>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</si>
  <si>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</si>
  <si>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</si>
  <si>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</si>
  <si>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</si>
  <si>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</si>
  <si>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</si>
  <si>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</si>
  <si>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</si>
  <si>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</si>
  <si>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</si>
  <si>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</si>
  <si>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</si>
  <si>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</si>
  <si>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</si>
  <si>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</si>
  <si>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</si>
  <si>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</si>
  <si>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</si>
  <si>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</si>
  <si>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</si>
  <si>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</si>
  <si>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</si>
  <si>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</si>
  <si>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</si>
  <si>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</si>
  <si>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</si>
  <si>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</si>
  <si>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</si>
  <si>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</si>
  <si>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</si>
  <si>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</si>
  <si>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</si>
  <si>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</si>
  <si>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</si>
  <si>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</si>
  <si>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</si>
  <si>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</si>
  <si>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</si>
  <si>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</si>
  <si>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</si>
  <si>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</si>
  <si>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</si>
  <si>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</si>
  <si>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</si>
  <si>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</si>
  <si>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</si>
  <si>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</si>
  <si>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</si>
  <si>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</si>
  <si>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</si>
  <si>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</si>
  <si>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</si>
  <si>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</si>
  <si>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</si>
  <si>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</si>
  <si>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</si>
  <si>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</si>
  <si>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</si>
  <si>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</si>
  <si>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</si>
  <si>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</si>
  <si>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</si>
  <si>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</si>
  <si>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</si>
  <si>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</si>
  <si>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</si>
  <si>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</si>
  <si>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</si>
  <si>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</si>
  <si>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</si>
  <si>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</si>
  <si>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</si>
  <si>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</si>
  <si>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</si>
  <si>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</si>
  <si>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</si>
  <si>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</si>
  <si>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</si>
  <si>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</si>
  <si>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</si>
  <si>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</si>
  <si>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</si>
  <si>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</si>
  <si>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</si>
  <si>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</si>
  <si>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</si>
  <si>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</si>
  <si>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</si>
  <si>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</si>
  <si>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</si>
  <si>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</si>
  <si>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</si>
  <si>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</si>
  <si>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</si>
  <si>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</si>
  <si>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</si>
  <si>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</si>
  <si>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</si>
  <si>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</si>
  <si>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</si>
  <si>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</si>
  <si>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</si>
  <si>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</si>
  <si>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</si>
  <si>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</si>
  <si>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</si>
  <si>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</si>
  <si>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</si>
  <si>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</si>
  <si>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</si>
  <si>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</si>
  <si>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</si>
  <si>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</si>
  <si>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</si>
  <si>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</si>
  <si>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</si>
  <si>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</si>
  <si>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</si>
  <si>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</si>
  <si>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</si>
  <si>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</si>
  <si>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</si>
  <si>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</si>
  <si>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</si>
  <si>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</si>
  <si>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</si>
  <si>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</si>
  <si>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</si>
  <si>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</si>
  <si>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</si>
  <si>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</si>
  <si>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</si>
  <si>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</si>
  <si>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</si>
  <si>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</si>
  <si>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</si>
  <si>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</si>
  <si>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</si>
  <si>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</si>
  <si>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</si>
  <si>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</si>
  <si>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</si>
  <si>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</si>
  <si>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</si>
  <si>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</si>
  <si>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</si>
  <si>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</si>
  <si>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</si>
  <si>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</si>
  <si>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</si>
  <si>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</si>
  <si>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</si>
  <si>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</si>
  <si>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</si>
  <si>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</si>
  <si>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</si>
  <si>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</si>
  <si>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</si>
  <si>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</si>
  <si>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</si>
  <si>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</si>
  <si>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</si>
  <si>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</si>
  <si>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</si>
  <si>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</si>
  <si>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</si>
  <si>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</si>
  <si>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</si>
  <si>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</si>
  <si>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</si>
  <si>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</si>
  <si>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</si>
  <si>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</si>
  <si>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</si>
  <si>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</si>
  <si>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</si>
  <si>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</si>
  <si>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</si>
  <si>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</si>
  <si>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</si>
  <si>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</si>
  <si>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</si>
  <si>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</si>
  <si>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</si>
  <si>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</si>
  <si>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</si>
  <si>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</si>
  <si>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</si>
  <si>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</si>
  <si>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</si>
  <si>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</si>
  <si>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</si>
  <si>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</si>
  <si>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</si>
  <si>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</si>
  <si>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</si>
  <si>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</si>
  <si>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</si>
  <si>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</si>
  <si>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</si>
  <si>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</si>
  <si>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</si>
  <si>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</si>
  <si>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</si>
  <si>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</si>
  <si>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</si>
  <si>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</si>
  <si>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</si>
  <si>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</si>
  <si>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校园足球示范区专项经费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</si>
  <si>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</si>
  <si>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</si>
  <si>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</si>
  <si>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</si>
  <si>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</si>
  <si>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</si>
  <si>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</si>
  <si>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</si>
  <si>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</si>
  <si>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2400元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</si>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</sst>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eetMetadata" Target="metadata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wpscompress\{0a70fe4a-71fd-49bb-b8ef-24a3c921b6e7}\{c6877460-4630-44c9-9e26-5e5c1c7e45d1}\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wpscompress\{0a70fe4a-71fd-49bb-b8ef-24a3c921b6e7}\{c6877460-4630-44c9-9e26-5e5c1c7e45d1}\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</row>
        <row r="2"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</row>
        <row r="3">
          <cell r="L3">
            <v>38</v>
          </cell>
        </row>
        <row r="3"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9450049.85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33305220.7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13127006.7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6363056.05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13306338.2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15449770.2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19531039.95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13074569.95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7956766.1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19120902.15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2028846.261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20328623.461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21757638.2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34695723.3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18688499.4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K5" sqref="K5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62"/>
      <c r="B4" s="63"/>
      <c r="C4" s="1"/>
      <c r="D4" s="62" t="s">
        <v>1</v>
      </c>
      <c r="E4" s="63">
        <f>VLOOKUP(E5,[1]Sheet1!$F:$G,2,0)</f>
        <v>127045</v>
      </c>
      <c r="F4" s="63"/>
      <c r="G4" s="63"/>
      <c r="H4" s="63"/>
      <c r="I4" s="1"/>
    </row>
    <row r="5" ht="54.3" customHeight="1" spans="1:9">
      <c r="A5" s="62"/>
      <c r="B5" s="63"/>
      <c r="C5" s="1"/>
      <c r="D5" s="62" t="s">
        <v>2</v>
      </c>
      <c r="E5" s="63" t="s">
        <v>3</v>
      </c>
      <c r="F5" s="63"/>
      <c r="G5" s="63"/>
      <c r="H5" s="6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4</v>
      </c>
      <c r="C1" s="10"/>
    </row>
    <row r="2" ht="25" customHeight="1" spans="2:3">
      <c r="B2" s="10"/>
      <c r="C2" s="10"/>
    </row>
    <row r="3" ht="31.05" customHeight="1" spans="2:3">
      <c r="B3" s="29" t="s">
        <v>5</v>
      </c>
      <c r="C3" s="29"/>
    </row>
    <row r="4" ht="32.55" customHeight="1" spans="2:3">
      <c r="B4" s="58">
        <v>1</v>
      </c>
      <c r="C4" s="59" t="s">
        <v>6</v>
      </c>
    </row>
    <row r="5" ht="32.55" customHeight="1" spans="2:3">
      <c r="B5" s="58">
        <v>2</v>
      </c>
      <c r="C5" s="60" t="s">
        <v>7</v>
      </c>
    </row>
    <row r="6" ht="32.55" customHeight="1" spans="2:3">
      <c r="B6" s="58">
        <v>3</v>
      </c>
      <c r="C6" s="59" t="s">
        <v>8</v>
      </c>
    </row>
    <row r="7" ht="32.55" customHeight="1" spans="2:3">
      <c r="B7" s="58">
        <v>4</v>
      </c>
      <c r="C7" s="59" t="s">
        <v>9</v>
      </c>
    </row>
    <row r="8" ht="32.55" customHeight="1" spans="2:3">
      <c r="B8" s="58">
        <v>5</v>
      </c>
      <c r="C8" s="59" t="s">
        <v>10</v>
      </c>
    </row>
    <row r="9" ht="32.55" customHeight="1" spans="2:3">
      <c r="B9" s="58">
        <v>6</v>
      </c>
      <c r="C9" s="59" t="s">
        <v>11</v>
      </c>
    </row>
    <row r="10" ht="32.55" customHeight="1" spans="2:3">
      <c r="B10" s="58">
        <v>7</v>
      </c>
      <c r="C10" s="59" t="s">
        <v>12</v>
      </c>
    </row>
    <row r="11" ht="32.55" customHeight="1" spans="2:3">
      <c r="B11" s="58">
        <v>8</v>
      </c>
      <c r="C11" s="59" t="s">
        <v>13</v>
      </c>
    </row>
    <row r="12" ht="32.55" customHeight="1" spans="2:3">
      <c r="B12" s="58">
        <v>9</v>
      </c>
      <c r="C12" s="59" t="s">
        <v>14</v>
      </c>
    </row>
    <row r="13" ht="32.55" customHeight="1" spans="2:3">
      <c r="B13" s="58">
        <v>10</v>
      </c>
      <c r="C13" s="59" t="s">
        <v>15</v>
      </c>
    </row>
    <row r="14" ht="32.55" customHeight="1" spans="2:3">
      <c r="B14" s="58">
        <v>11</v>
      </c>
      <c r="C14" s="59" t="s">
        <v>16</v>
      </c>
    </row>
    <row r="15" ht="32.55" customHeight="1" spans="2:3">
      <c r="B15" s="58">
        <v>12</v>
      </c>
      <c r="C15" s="59" t="s">
        <v>17</v>
      </c>
    </row>
    <row r="16" ht="32.55" customHeight="1" spans="2:3">
      <c r="B16" s="58">
        <v>13</v>
      </c>
      <c r="C16" s="59" t="s">
        <v>18</v>
      </c>
    </row>
    <row r="17" ht="32.55" customHeight="1" spans="2:3">
      <c r="B17" s="58">
        <v>14</v>
      </c>
      <c r="C17" s="59" t="s">
        <v>19</v>
      </c>
    </row>
    <row r="18" ht="32.55" customHeight="1" spans="2:3">
      <c r="B18" s="58">
        <v>15</v>
      </c>
      <c r="C18" s="59" t="s">
        <v>20</v>
      </c>
    </row>
    <row r="19" ht="32.55" customHeight="1" spans="2:3">
      <c r="B19" s="58">
        <v>16</v>
      </c>
      <c r="C19" s="59" t="s">
        <v>21</v>
      </c>
    </row>
    <row r="20" ht="32.55" customHeight="1" spans="2:3">
      <c r="B20" s="58">
        <v>17</v>
      </c>
      <c r="C20" s="59" t="s">
        <v>22</v>
      </c>
    </row>
    <row r="21" ht="32.55" customHeight="1" spans="2:3">
      <c r="B21" s="58">
        <v>18</v>
      </c>
      <c r="C21" s="59" t="s">
        <v>23</v>
      </c>
    </row>
    <row r="22" ht="32.55" customHeight="1" spans="2:3">
      <c r="B22" s="58">
        <v>19</v>
      </c>
      <c r="C22" s="59" t="s">
        <v>24</v>
      </c>
    </row>
    <row r="23" ht="32.55" customHeight="1" spans="2:3">
      <c r="B23" s="58">
        <v>20</v>
      </c>
      <c r="C23" s="59" t="s">
        <v>25</v>
      </c>
    </row>
    <row r="24" ht="32.55" customHeight="1" spans="2:3">
      <c r="B24" s="58">
        <v>21</v>
      </c>
      <c r="C24" s="59" t="s">
        <v>26</v>
      </c>
    </row>
    <row r="25" ht="32.55" customHeight="1" spans="2:3">
      <c r="B25" s="58">
        <v>22</v>
      </c>
      <c r="C25" s="59" t="s">
        <v>27</v>
      </c>
    </row>
    <row r="26" ht="32.55" customHeight="1" spans="2:3">
      <c r="B26" s="58">
        <v>23</v>
      </c>
      <c r="C26" s="59" t="s">
        <v>28</v>
      </c>
    </row>
    <row r="27" ht="32.55" customHeight="1" spans="2:3">
      <c r="B27" s="58">
        <v>24</v>
      </c>
      <c r="C27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topLeftCell="A3" workbookViewId="0">
      <selection activeCell="H41" sqref="H4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57" t="s">
        <v>6</v>
      </c>
      <c r="B2" s="57"/>
      <c r="C2" s="57"/>
      <c r="D2" s="57"/>
      <c r="E2" s="57"/>
      <c r="F2" s="57"/>
      <c r="G2" s="57"/>
      <c r="H2" s="57"/>
    </row>
    <row r="3" ht="17.25" customHeight="1" spans="1:8">
      <c r="A3" s="11" t="str">
        <f>"部门："&amp;封面!E4&amp;"_"&amp;封面!E5</f>
        <v>部门：127045_益阳市赫山区世通学校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f>VLOOKUP(封面!E5,[2]Sheet1!$A:$AJ,36,0)/10000</f>
        <v>1868.84994</v>
      </c>
      <c r="C6" s="5" t="s">
        <v>40</v>
      </c>
      <c r="D6" s="21"/>
      <c r="E6" s="14" t="s">
        <v>41</v>
      </c>
      <c r="F6" s="13">
        <f>SUM(F7:F9)</f>
        <v>1546.4688</v>
      </c>
      <c r="G6" s="5" t="s">
        <v>42</v>
      </c>
      <c r="H6" s="6">
        <f>F7</f>
        <v>1514.529</v>
      </c>
    </row>
    <row r="7" ht="16.25" customHeight="1" spans="1:8">
      <c r="A7" s="5" t="s">
        <v>43</v>
      </c>
      <c r="B7" s="6"/>
      <c r="C7" s="5" t="s">
        <v>44</v>
      </c>
      <c r="D7" s="21"/>
      <c r="E7" s="5" t="s">
        <v>45</v>
      </c>
      <c r="F7" s="6" cm="1">
        <f t="array" ref="F7">SUM(IF([2]Sheet1!$A:$A=封面!E5,[2]Sheet1!$K:$L,0))/10000</f>
        <v>1514.529</v>
      </c>
      <c r="G7" s="5" t="s">
        <v>46</v>
      </c>
      <c r="H7" s="6">
        <f>F8+F12</f>
        <v>499.53914</v>
      </c>
    </row>
    <row r="8" ht="16.25" customHeight="1" spans="1:8">
      <c r="A8" s="14" t="s">
        <v>47</v>
      </c>
      <c r="B8" s="6"/>
      <c r="C8" s="5" t="s">
        <v>48</v>
      </c>
      <c r="D8" s="21"/>
      <c r="E8" s="5" t="s">
        <v>49</v>
      </c>
      <c r="F8" s="6" cm="1">
        <f t="array" ref="F8">SUM(IF([2]Sheet1!$A:$A=封面!E5,[2]Sheet1!$P:$T,0))/10000</f>
        <v>31.9398</v>
      </c>
      <c r="G8" s="5" t="s">
        <v>50</v>
      </c>
      <c r="H8" s="6">
        <f>F16</f>
        <v>0</v>
      </c>
    </row>
    <row r="9" ht="16.25" customHeight="1" spans="1:8">
      <c r="A9" s="5" t="s">
        <v>51</v>
      </c>
      <c r="B9" s="6"/>
      <c r="C9" s="5" t="s">
        <v>52</v>
      </c>
      <c r="D9" s="21"/>
      <c r="E9" s="5" t="s">
        <v>53</v>
      </c>
      <c r="F9" s="6" cm="1">
        <f t="array" ref="F9">SUM(IF([2]Sheet1!$A:$A=封面!E5,[2]Sheet1!$N:$O,0))/10000</f>
        <v>0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1">
        <f>B23+B6</f>
        <v>1931.30994</v>
      </c>
      <c r="E10" s="14" t="s">
        <v>57</v>
      </c>
      <c r="F10" s="13">
        <f>F12+F16</f>
        <v>467.59934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1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1"/>
      <c r="E12" s="5" t="s">
        <v>65</v>
      </c>
      <c r="F12" s="6" cm="1">
        <f t="array" ref="F12">SUM(IF([2]Sheet1!$A:$A=封面!E5,[2]Sheet1!$U:$AI,0))/10000</f>
        <v>467.59934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1">
        <f>B32</f>
        <v>82.7582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1"/>
      <c r="E14" s="5" t="s">
        <v>73</v>
      </c>
      <c r="F14" s="6"/>
      <c r="G14" s="5" t="s">
        <v>74</v>
      </c>
      <c r="H14" s="6">
        <f>F9</f>
        <v>0</v>
      </c>
    </row>
    <row r="15" ht="16.25" customHeight="1" spans="1:8">
      <c r="A15" s="5" t="s">
        <v>75</v>
      </c>
      <c r="B15" s="6"/>
      <c r="C15" s="5" t="s">
        <v>76</v>
      </c>
      <c r="D15" s="21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1"/>
      <c r="E16" s="5" t="s">
        <v>81</v>
      </c>
      <c r="F16" s="6">
        <f>VLOOKUP(封面!E5,[2]Sheet1!$A:$AE,31,0)/10000</f>
        <v>0</v>
      </c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1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1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1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3"/>
      <c r="C20" s="5" t="s">
        <v>96</v>
      </c>
      <c r="D20" s="21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3"/>
      <c r="C21" s="5" t="s">
        <v>99</v>
      </c>
      <c r="D21" s="21"/>
      <c r="E21" s="14" t="s">
        <v>100</v>
      </c>
      <c r="F21" s="13"/>
      <c r="G21" s="5"/>
      <c r="H21" s="6"/>
    </row>
    <row r="22" ht="16.25" customHeight="1" spans="1:8">
      <c r="A22" s="14" t="s">
        <v>101</v>
      </c>
      <c r="B22" s="13"/>
      <c r="C22" s="5" t="s">
        <v>102</v>
      </c>
      <c r="D22" s="21"/>
      <c r="E22" s="5"/>
      <c r="F22" s="5"/>
      <c r="G22" s="5"/>
      <c r="H22" s="6"/>
    </row>
    <row r="23" ht="16.25" customHeight="1" spans="1:8">
      <c r="A23" s="14" t="s">
        <v>103</v>
      </c>
      <c r="B23" s="13">
        <f>VLOOKUP(封面!E5,[2]Sheet1!$A:$AI,35,0)/10000</f>
        <v>62.46</v>
      </c>
      <c r="C23" s="5" t="s">
        <v>104</v>
      </c>
      <c r="D23" s="21"/>
      <c r="E23" s="5"/>
      <c r="F23" s="5"/>
      <c r="G23" s="5"/>
      <c r="H23" s="6"/>
    </row>
    <row r="24" ht="16.25" customHeight="1" spans="1:8">
      <c r="A24" s="14" t="s">
        <v>105</v>
      </c>
      <c r="B24" s="13"/>
      <c r="C24" s="5" t="s">
        <v>106</v>
      </c>
      <c r="D24" s="21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1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1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1"/>
      <c r="E27" s="5"/>
      <c r="F27" s="5"/>
      <c r="G27" s="5"/>
      <c r="H27" s="6"/>
    </row>
    <row r="28" ht="16.25" customHeight="1" spans="1:8">
      <c r="A28" s="14" t="s">
        <v>113</v>
      </c>
      <c r="B28" s="13"/>
      <c r="C28" s="5" t="s">
        <v>114</v>
      </c>
      <c r="D28" s="21"/>
      <c r="E28" s="5"/>
      <c r="F28" s="5"/>
      <c r="G28" s="5"/>
      <c r="H28" s="6"/>
    </row>
    <row r="29" ht="16.25" customHeight="1" spans="1:8">
      <c r="A29" s="14" t="s">
        <v>115</v>
      </c>
      <c r="B29" s="13"/>
      <c r="C29" s="5" t="s">
        <v>116</v>
      </c>
      <c r="D29" s="21"/>
      <c r="E29" s="5"/>
      <c r="F29" s="5"/>
      <c r="G29" s="5"/>
      <c r="H29" s="6"/>
    </row>
    <row r="30" ht="16.25" customHeight="1" spans="1:8">
      <c r="A30" s="14" t="s">
        <v>117</v>
      </c>
      <c r="B30" s="13"/>
      <c r="C30" s="5" t="s">
        <v>118</v>
      </c>
      <c r="D30" s="21"/>
      <c r="E30" s="5"/>
      <c r="F30" s="5"/>
      <c r="G30" s="5"/>
      <c r="H30" s="6"/>
    </row>
    <row r="31" ht="16.25" customHeight="1" spans="1:8">
      <c r="A31" s="14" t="s">
        <v>119</v>
      </c>
      <c r="B31" s="13"/>
      <c r="C31" s="5" t="s">
        <v>120</v>
      </c>
      <c r="D31" s="21"/>
      <c r="E31" s="5"/>
      <c r="F31" s="5"/>
      <c r="G31" s="5"/>
      <c r="H31" s="6"/>
    </row>
    <row r="32" ht="16.25" customHeight="1" spans="1:8">
      <c r="A32" s="14" t="s">
        <v>121</v>
      </c>
      <c r="B32" s="13">
        <f>VLOOKUP(封面!E5,[2]Sheet1!$A:$L,12,0)/10000</f>
        <v>82.7582</v>
      </c>
      <c r="C32" s="5" t="s">
        <v>122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126</v>
      </c>
      <c r="B37" s="13">
        <f>SUM(B32+B23+B6)</f>
        <v>2014.06814</v>
      </c>
      <c r="C37" s="14" t="s">
        <v>127</v>
      </c>
      <c r="D37" s="13">
        <f>D13+D10</f>
        <v>2014.06814</v>
      </c>
      <c r="E37" s="14" t="s">
        <v>127</v>
      </c>
      <c r="F37" s="13">
        <f>F10+F6</f>
        <v>2014.06814</v>
      </c>
      <c r="G37" s="14" t="s">
        <v>127</v>
      </c>
      <c r="H37" s="13">
        <f>H14+H8+H7+H6</f>
        <v>2014.06814</v>
      </c>
    </row>
    <row r="38" ht="16.2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130</v>
      </c>
      <c r="B40" s="13">
        <f>B37</f>
        <v>2014.06814</v>
      </c>
      <c r="C40" s="14" t="s">
        <v>131</v>
      </c>
      <c r="D40" s="13">
        <f>D37</f>
        <v>2014.06814</v>
      </c>
      <c r="E40" s="14" t="s">
        <v>131</v>
      </c>
      <c r="F40" s="13">
        <f>F37</f>
        <v>2014.06814</v>
      </c>
      <c r="G40" s="14" t="s">
        <v>131</v>
      </c>
      <c r="H40" s="13">
        <f>H37</f>
        <v>2014.06814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9.40833333333333" customWidth="1"/>
    <col min="4" max="4" width="8.05" customWidth="1"/>
    <col min="5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tr">
        <f>'1收支总表'!A3</f>
        <v>部门：127045_益阳市赫山区世通学校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135</v>
      </c>
      <c r="C7" s="28">
        <f>C9</f>
        <v>2014.06814</v>
      </c>
      <c r="D7" s="28">
        <f>D8</f>
        <v>2014.06814</v>
      </c>
      <c r="E7" s="28">
        <f>E9</f>
        <v>1868.84994</v>
      </c>
      <c r="F7" s="28"/>
      <c r="G7" s="28"/>
      <c r="H7" s="28"/>
      <c r="I7" s="28">
        <f>I9</f>
        <v>62.46</v>
      </c>
      <c r="J7" s="28"/>
      <c r="K7" s="28"/>
      <c r="L7" s="28"/>
      <c r="M7" s="28"/>
      <c r="N7" s="28"/>
      <c r="O7" s="28"/>
      <c r="P7" s="28"/>
      <c r="Q7" s="28"/>
      <c r="R7" s="28">
        <f>R9</f>
        <v>82.7582</v>
      </c>
      <c r="S7" s="28"/>
      <c r="T7" s="28"/>
      <c r="U7" s="28"/>
      <c r="V7" s="28"/>
      <c r="W7" s="28"/>
      <c r="X7" s="28"/>
      <c r="Y7" s="28"/>
    </row>
    <row r="8" ht="22.8" customHeight="1" spans="1:25">
      <c r="A8" s="12">
        <f>A9</f>
        <v>127045</v>
      </c>
      <c r="B8" s="12" t="str">
        <f>B9</f>
        <v>益阳市赫山区世通学校</v>
      </c>
      <c r="C8" s="28">
        <f>C9</f>
        <v>2014.06814</v>
      </c>
      <c r="D8" s="28">
        <f>D9</f>
        <v>2014.06814</v>
      </c>
      <c r="E8" s="28">
        <f>E9</f>
        <v>1868.84994</v>
      </c>
      <c r="F8" s="28"/>
      <c r="G8" s="28"/>
      <c r="H8" s="28"/>
      <c r="I8" s="28">
        <f>I9</f>
        <v>62.46</v>
      </c>
      <c r="J8" s="28"/>
      <c r="K8" s="28"/>
      <c r="L8" s="28"/>
      <c r="M8" s="28"/>
      <c r="N8" s="28"/>
      <c r="O8" s="28"/>
      <c r="P8" s="28"/>
      <c r="Q8" s="28"/>
      <c r="R8" s="28">
        <f>R9</f>
        <v>82.7582</v>
      </c>
      <c r="S8" s="28"/>
      <c r="T8" s="28"/>
      <c r="U8" s="28"/>
      <c r="V8" s="28"/>
      <c r="W8" s="28"/>
      <c r="X8" s="28"/>
      <c r="Y8" s="28"/>
    </row>
    <row r="9" ht="22.8" customHeight="1" spans="1:25">
      <c r="A9" s="56">
        <f>封面!E4</f>
        <v>127045</v>
      </c>
      <c r="B9" s="56" t="str">
        <f>封面!E5</f>
        <v>益阳市赫山区世通学校</v>
      </c>
      <c r="C9" s="21">
        <f>D9</f>
        <v>2014.06814</v>
      </c>
      <c r="D9" s="21">
        <f>E9+I9+R9</f>
        <v>2014.06814</v>
      </c>
      <c r="E9" s="6">
        <f>'1收支总表'!B6</f>
        <v>1868.84994</v>
      </c>
      <c r="F9" s="6"/>
      <c r="G9" s="6"/>
      <c r="H9" s="6"/>
      <c r="I9" s="6">
        <f>'1收支总表'!B23</f>
        <v>62.46</v>
      </c>
      <c r="J9" s="6"/>
      <c r="K9" s="6"/>
      <c r="L9" s="6"/>
      <c r="M9" s="6"/>
      <c r="N9" s="6"/>
      <c r="O9" s="6"/>
      <c r="P9" s="6"/>
      <c r="Q9" s="6"/>
      <c r="R9" s="6">
        <f>'1收支总表'!B32</f>
        <v>82.7582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9" sqref="E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4"/>
      <c r="K1" s="16" t="s">
        <v>153</v>
      </c>
    </row>
    <row r="2" ht="31.9" customHeight="1" spans="1:1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45" t="str">
        <f>'1收支总表'!A3</f>
        <v>部门：127045_益阳市赫山区世通学校</v>
      </c>
      <c r="B3" s="45"/>
      <c r="C3" s="45"/>
      <c r="D3" s="45"/>
      <c r="E3" s="45"/>
      <c r="F3" s="45"/>
      <c r="G3" s="45"/>
      <c r="H3" s="45"/>
      <c r="I3" s="45"/>
      <c r="J3" s="45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4"/>
      <c r="B6" s="34"/>
      <c r="C6" s="34"/>
      <c r="D6" s="46" t="s">
        <v>135</v>
      </c>
      <c r="E6" s="46"/>
      <c r="F6" s="47">
        <f>'1收支总表'!B37</f>
        <v>2014.06814</v>
      </c>
      <c r="G6" s="47">
        <f>G7</f>
        <v>1546.4688</v>
      </c>
      <c r="H6" s="47">
        <f>H7</f>
        <v>467.59934</v>
      </c>
      <c r="I6" s="47"/>
      <c r="J6" s="46"/>
      <c r="K6" s="46"/>
    </row>
    <row r="7" ht="22.8" customHeight="1" spans="1:11">
      <c r="A7" s="48"/>
      <c r="B7" s="48"/>
      <c r="C7" s="48"/>
      <c r="D7" s="49">
        <f>封面!E4</f>
        <v>127045</v>
      </c>
      <c r="E7" s="49" t="str">
        <f>封面!E5</f>
        <v>益阳市赫山区世通学校</v>
      </c>
      <c r="F7" s="50">
        <f>G7+H7</f>
        <v>2014.06814</v>
      </c>
      <c r="G7" s="50">
        <f>G8</f>
        <v>1546.4688</v>
      </c>
      <c r="H7" s="50">
        <f>H8</f>
        <v>467.59934</v>
      </c>
      <c r="I7" s="50"/>
      <c r="J7" s="55"/>
      <c r="K7" s="55"/>
    </row>
    <row r="8" ht="22.8" customHeight="1" spans="1:11">
      <c r="A8" s="48"/>
      <c r="B8" s="48"/>
      <c r="C8" s="48"/>
      <c r="D8" s="49">
        <f>D7</f>
        <v>127045</v>
      </c>
      <c r="E8" s="49" t="str">
        <f>E7</f>
        <v>益阳市赫山区世通学校</v>
      </c>
      <c r="F8" s="50">
        <f>G8+H8</f>
        <v>2014.06814</v>
      </c>
      <c r="G8" s="50">
        <f>G11+G13</f>
        <v>1546.4688</v>
      </c>
      <c r="H8" s="50">
        <f>H9+H10+H11+H12</f>
        <v>467.59934</v>
      </c>
      <c r="I8" s="50"/>
      <c r="J8" s="55"/>
      <c r="K8" s="55"/>
    </row>
    <row r="9" ht="22.8" customHeight="1" spans="1:11">
      <c r="A9" s="51" t="s">
        <v>165</v>
      </c>
      <c r="B9" s="51" t="s">
        <v>166</v>
      </c>
      <c r="C9" s="51" t="s">
        <v>167</v>
      </c>
      <c r="D9" s="52" t="s">
        <v>168</v>
      </c>
      <c r="E9" s="53" t="s">
        <v>169</v>
      </c>
      <c r="F9" s="54">
        <v>0</v>
      </c>
      <c r="G9" s="54"/>
      <c r="H9" s="54">
        <v>0</v>
      </c>
      <c r="I9" s="54"/>
      <c r="J9" s="53"/>
      <c r="K9" s="53"/>
    </row>
    <row r="10" ht="22.8" customHeight="1" spans="1:11">
      <c r="A10" s="51" t="s">
        <v>165</v>
      </c>
      <c r="B10" s="51" t="s">
        <v>170</v>
      </c>
      <c r="C10" s="51" t="s">
        <v>166</v>
      </c>
      <c r="D10" s="52" t="s">
        <v>171</v>
      </c>
      <c r="E10" s="53" t="s">
        <v>172</v>
      </c>
      <c r="F10" s="54">
        <v>0</v>
      </c>
      <c r="G10" s="54"/>
      <c r="H10" s="54">
        <v>0</v>
      </c>
      <c r="I10" s="54"/>
      <c r="J10" s="53"/>
      <c r="K10" s="53"/>
    </row>
    <row r="11" ht="22.8" customHeight="1" spans="1:11">
      <c r="A11" s="51" t="s">
        <v>165</v>
      </c>
      <c r="B11" s="51" t="s">
        <v>170</v>
      </c>
      <c r="C11" s="51" t="s">
        <v>167</v>
      </c>
      <c r="D11" s="52" t="s">
        <v>173</v>
      </c>
      <c r="E11" s="53" t="s">
        <v>174</v>
      </c>
      <c r="F11" s="54">
        <f>G11+H11</f>
        <v>1931.30994</v>
      </c>
      <c r="G11" s="54">
        <f>F6-H11-G13</f>
        <v>1463.7106</v>
      </c>
      <c r="H11" s="54">
        <f>'1收支总表'!F10</f>
        <v>467.59934</v>
      </c>
      <c r="I11" s="54"/>
      <c r="J11" s="53"/>
      <c r="K11" s="53"/>
    </row>
    <row r="12" ht="22.8" customHeight="1" spans="1:11">
      <c r="A12" s="51" t="s">
        <v>165</v>
      </c>
      <c r="B12" s="51" t="s">
        <v>175</v>
      </c>
      <c r="C12" s="51" t="s">
        <v>170</v>
      </c>
      <c r="D12" s="52" t="s">
        <v>176</v>
      </c>
      <c r="E12" s="53" t="s">
        <v>177</v>
      </c>
      <c r="F12" s="54">
        <v>0</v>
      </c>
      <c r="G12" s="54"/>
      <c r="H12" s="54">
        <v>0</v>
      </c>
      <c r="I12" s="54"/>
      <c r="J12" s="53"/>
      <c r="K12" s="53"/>
    </row>
    <row r="13" ht="22.8" customHeight="1" spans="1:11">
      <c r="A13" s="51" t="s">
        <v>178</v>
      </c>
      <c r="B13" s="51" t="s">
        <v>179</v>
      </c>
      <c r="C13" s="51" t="s">
        <v>180</v>
      </c>
      <c r="D13" s="52" t="s">
        <v>181</v>
      </c>
      <c r="E13" s="53" t="s">
        <v>182</v>
      </c>
      <c r="F13" s="54">
        <f>G13</f>
        <v>82.7582</v>
      </c>
      <c r="G13" s="54">
        <f>'1收支总表'!B32</f>
        <v>82.7582</v>
      </c>
      <c r="H13" s="54"/>
      <c r="I13" s="54"/>
      <c r="J13" s="53"/>
      <c r="K13" s="5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F8" sqref="F8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40833333333333" customWidth="1"/>
    <col min="7" max="8" width="8.59166666666667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183</v>
      </c>
      <c r="T1" s="16"/>
    </row>
    <row r="2" ht="42.25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tr">
        <f>'3支出总表'!A3</f>
        <v>部门：127045_益阳市赫山区世通学校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18" t="s">
        <v>154</v>
      </c>
      <c r="B4" s="18"/>
      <c r="C4" s="18"/>
      <c r="D4" s="18" t="s">
        <v>184</v>
      </c>
      <c r="E4" s="18" t="s">
        <v>185</v>
      </c>
      <c r="F4" s="18" t="s">
        <v>186</v>
      </c>
      <c r="G4" s="18" t="s">
        <v>187</v>
      </c>
      <c r="H4" s="18" t="s">
        <v>188</v>
      </c>
      <c r="I4" s="18" t="s">
        <v>189</v>
      </c>
      <c r="J4" s="18" t="s">
        <v>190</v>
      </c>
      <c r="K4" s="18" t="s">
        <v>191</v>
      </c>
      <c r="L4" s="18" t="s">
        <v>192</v>
      </c>
      <c r="M4" s="18" t="s">
        <v>193</v>
      </c>
      <c r="N4" s="18" t="s">
        <v>194</v>
      </c>
      <c r="O4" s="18" t="s">
        <v>195</v>
      </c>
      <c r="P4" s="18" t="s">
        <v>196</v>
      </c>
      <c r="Q4" s="18" t="s">
        <v>197</v>
      </c>
      <c r="R4" s="18" t="s">
        <v>198</v>
      </c>
      <c r="S4" s="18" t="s">
        <v>199</v>
      </c>
      <c r="T4" s="18" t="s">
        <v>200</v>
      </c>
    </row>
    <row r="5" ht="20.7" customHeight="1" spans="1:20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135</v>
      </c>
      <c r="F6" s="13">
        <f>'1收支总表'!B37</f>
        <v>2014.06814</v>
      </c>
      <c r="G6" s="13">
        <v>74157.37384</v>
      </c>
      <c r="H6" s="13">
        <f>H7</f>
        <v>499.53914</v>
      </c>
      <c r="I6" s="13">
        <f>I8</f>
        <v>0</v>
      </c>
      <c r="J6" s="13"/>
      <c r="K6" s="13"/>
      <c r="L6" s="13"/>
      <c r="M6" s="13"/>
      <c r="N6" s="13"/>
      <c r="O6" s="13">
        <f>O9</f>
        <v>0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>
        <f>'3支出总表'!D7</f>
        <v>127045</v>
      </c>
      <c r="E7" s="12" t="str">
        <f>'3支出总表'!E7</f>
        <v>益阳市赫山区世通学校</v>
      </c>
      <c r="F7" s="13">
        <f>F8</f>
        <v>1931.30994</v>
      </c>
      <c r="G7" s="13">
        <v>74157.37384</v>
      </c>
      <c r="H7" s="13">
        <f>H8</f>
        <v>499.53914</v>
      </c>
      <c r="I7" s="13">
        <f>I8</f>
        <v>0</v>
      </c>
      <c r="J7" s="13"/>
      <c r="K7" s="13"/>
      <c r="L7" s="13"/>
      <c r="M7" s="13"/>
      <c r="N7" s="13"/>
      <c r="O7" s="13">
        <f>O8</f>
        <v>0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>
        <f t="shared" ref="D8:D13" si="0">D7</f>
        <v>127045</v>
      </c>
      <c r="E8" s="20" t="str">
        <f>E7</f>
        <v>益阳市赫山区世通学校</v>
      </c>
      <c r="F8" s="43">
        <f>F9</f>
        <v>1931.30994</v>
      </c>
      <c r="G8" s="43">
        <f>F6-G10-O9-H9</f>
        <v>1431.7708</v>
      </c>
      <c r="H8" s="43">
        <f>H9</f>
        <v>499.53914</v>
      </c>
      <c r="I8" s="43">
        <f>I9</f>
        <v>0</v>
      </c>
      <c r="J8" s="43"/>
      <c r="K8" s="43"/>
      <c r="L8" s="43"/>
      <c r="M8" s="43"/>
      <c r="N8" s="43"/>
      <c r="O8" s="43">
        <f>O9</f>
        <v>0</v>
      </c>
      <c r="P8" s="43"/>
      <c r="Q8" s="43"/>
      <c r="R8" s="43"/>
      <c r="S8" s="43"/>
      <c r="T8" s="43"/>
    </row>
    <row r="9" ht="22.8" customHeight="1" spans="1:20">
      <c r="A9" s="23" t="s">
        <v>165</v>
      </c>
      <c r="B9" s="23" t="s">
        <v>170</v>
      </c>
      <c r="C9" s="23" t="s">
        <v>167</v>
      </c>
      <c r="D9" s="19">
        <f t="shared" si="0"/>
        <v>127045</v>
      </c>
      <c r="E9" s="24" t="s">
        <v>174</v>
      </c>
      <c r="F9" s="25">
        <f>G9+H9+O9</f>
        <v>1931.30994</v>
      </c>
      <c r="G9" s="25">
        <f>F6-G10-O9-H9</f>
        <v>1431.7708</v>
      </c>
      <c r="H9" s="25">
        <f>'1收支总表'!H7</f>
        <v>499.53914</v>
      </c>
      <c r="I9" s="25">
        <f>'1收支总表'!H8</f>
        <v>0</v>
      </c>
      <c r="J9" s="25"/>
      <c r="K9" s="25"/>
      <c r="L9" s="25"/>
      <c r="M9" s="25"/>
      <c r="N9" s="25"/>
      <c r="O9" s="25">
        <f>'1收支总表'!H14</f>
        <v>0</v>
      </c>
      <c r="P9" s="25"/>
      <c r="Q9" s="25"/>
      <c r="R9" s="25"/>
      <c r="S9" s="25"/>
      <c r="T9" s="25"/>
    </row>
    <row r="10" ht="22.8" customHeight="1" spans="1:20">
      <c r="A10" s="23" t="s">
        <v>178</v>
      </c>
      <c r="B10" s="23" t="s">
        <v>179</v>
      </c>
      <c r="C10" s="23" t="s">
        <v>180</v>
      </c>
      <c r="D10" s="19">
        <f t="shared" si="0"/>
        <v>127045</v>
      </c>
      <c r="E10" s="24" t="s">
        <v>182</v>
      </c>
      <c r="F10" s="25">
        <f>G10</f>
        <v>82.7582</v>
      </c>
      <c r="G10" s="25">
        <f>'1收支总表'!D13</f>
        <v>82.7582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165</v>
      </c>
      <c r="B11" s="23" t="s">
        <v>166</v>
      </c>
      <c r="C11" s="23" t="s">
        <v>167</v>
      </c>
      <c r="D11" s="19">
        <f t="shared" si="0"/>
        <v>127045</v>
      </c>
      <c r="E11" s="24" t="s">
        <v>169</v>
      </c>
      <c r="F11" s="25">
        <v>0</v>
      </c>
      <c r="G11" s="25"/>
      <c r="H11" s="25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165</v>
      </c>
      <c r="B12" s="23" t="s">
        <v>170</v>
      </c>
      <c r="C12" s="23" t="s">
        <v>166</v>
      </c>
      <c r="D12" s="19">
        <f t="shared" si="0"/>
        <v>127045</v>
      </c>
      <c r="E12" s="24" t="s">
        <v>172</v>
      </c>
      <c r="F12" s="25">
        <v>0</v>
      </c>
      <c r="G12" s="25"/>
      <c r="H12" s="25"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165</v>
      </c>
      <c r="B13" s="23" t="s">
        <v>175</v>
      </c>
      <c r="C13" s="23" t="s">
        <v>170</v>
      </c>
      <c r="D13" s="19">
        <f t="shared" si="0"/>
        <v>127045</v>
      </c>
      <c r="E13" s="24" t="s">
        <v>177</v>
      </c>
      <c r="F13" s="25">
        <v>0</v>
      </c>
      <c r="G13" s="25"/>
      <c r="H13" s="25"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E9" sqref="E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9.40833333333333" customWidth="1"/>
    <col min="7" max="7" width="8.59166666666667" customWidth="1"/>
    <col min="8" max="8" width="7.375" customWidth="1"/>
    <col min="9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201</v>
      </c>
      <c r="U1" s="16"/>
    </row>
    <row r="2" ht="37.0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tr">
        <f>'4支出分类(政府预算)'!A3</f>
        <v>部门：127045_益阳市赫山区世通学校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18" t="s">
        <v>154</v>
      </c>
      <c r="B4" s="18"/>
      <c r="C4" s="18"/>
      <c r="D4" s="18" t="s">
        <v>184</v>
      </c>
      <c r="E4" s="18" t="s">
        <v>185</v>
      </c>
      <c r="F4" s="18" t="s">
        <v>202</v>
      </c>
      <c r="G4" s="18" t="s">
        <v>157</v>
      </c>
      <c r="H4" s="18"/>
      <c r="I4" s="18"/>
      <c r="J4" s="18"/>
      <c r="K4" s="18" t="s">
        <v>158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 t="s">
        <v>135</v>
      </c>
      <c r="H5" s="18" t="s">
        <v>203</v>
      </c>
      <c r="I5" s="18" t="s">
        <v>204</v>
      </c>
      <c r="J5" s="18" t="s">
        <v>195</v>
      </c>
      <c r="K5" s="18" t="s">
        <v>135</v>
      </c>
      <c r="L5" s="18" t="s">
        <v>205</v>
      </c>
      <c r="M5" s="18" t="s">
        <v>206</v>
      </c>
      <c r="N5" s="18" t="s">
        <v>207</v>
      </c>
      <c r="O5" s="18" t="s">
        <v>197</v>
      </c>
      <c r="P5" s="18" t="s">
        <v>208</v>
      </c>
      <c r="Q5" s="18" t="s">
        <v>209</v>
      </c>
      <c r="R5" s="18" t="s">
        <v>210</v>
      </c>
      <c r="S5" s="18" t="s">
        <v>193</v>
      </c>
      <c r="T5" s="18" t="s">
        <v>196</v>
      </c>
      <c r="U5" s="18" t="s">
        <v>200</v>
      </c>
    </row>
    <row r="6" ht="22.8" customHeight="1" spans="1:21">
      <c r="A6" s="14"/>
      <c r="B6" s="14"/>
      <c r="C6" s="14"/>
      <c r="D6" s="14"/>
      <c r="E6" s="14" t="s">
        <v>135</v>
      </c>
      <c r="F6" s="13">
        <f>G6+K6</f>
        <v>2014.06814</v>
      </c>
      <c r="G6" s="13">
        <f>H6+I6+J6</f>
        <v>1546.4688</v>
      </c>
      <c r="H6" s="13">
        <f>H8</f>
        <v>1514.529</v>
      </c>
      <c r="I6" s="13">
        <f>I9</f>
        <v>31.9398</v>
      </c>
      <c r="J6" s="13">
        <f>J9</f>
        <v>0</v>
      </c>
      <c r="K6" s="13">
        <f>K9</f>
        <v>467.59934</v>
      </c>
      <c r="L6" s="13"/>
      <c r="M6" s="13">
        <f>M9</f>
        <v>467.59934</v>
      </c>
      <c r="N6" s="13"/>
      <c r="O6" s="13"/>
      <c r="P6" s="13"/>
      <c r="Q6" s="13">
        <f>Q9</f>
        <v>0</v>
      </c>
      <c r="R6" s="13"/>
      <c r="S6" s="13"/>
      <c r="T6" s="13"/>
      <c r="U6" s="13"/>
    </row>
    <row r="7" ht="22.8" customHeight="1" spans="1:21">
      <c r="A7" s="14"/>
      <c r="B7" s="14"/>
      <c r="C7" s="14"/>
      <c r="D7" s="12">
        <f>'4支出分类(政府预算)'!D7</f>
        <v>127045</v>
      </c>
      <c r="E7" s="12" t="str">
        <f>'4支出分类(政府预算)'!E7</f>
        <v>益阳市赫山区世通学校</v>
      </c>
      <c r="F7" s="28">
        <f>G7+K7</f>
        <v>2014.06814</v>
      </c>
      <c r="G7" s="13">
        <f>H7+I7+J7</f>
        <v>1546.4688</v>
      </c>
      <c r="H7" s="13">
        <f>H8</f>
        <v>1514.529</v>
      </c>
      <c r="I7" s="13">
        <f>I9</f>
        <v>31.9398</v>
      </c>
      <c r="J7" s="13">
        <f>J9</f>
        <v>0</v>
      </c>
      <c r="K7" s="13">
        <f>K9</f>
        <v>467.59934</v>
      </c>
      <c r="L7" s="13"/>
      <c r="M7" s="13">
        <f>M9</f>
        <v>467.59934</v>
      </c>
      <c r="N7" s="13"/>
      <c r="O7" s="13"/>
      <c r="P7" s="13"/>
      <c r="Q7" s="13">
        <f>Q8</f>
        <v>0</v>
      </c>
      <c r="R7" s="13"/>
      <c r="S7" s="13"/>
      <c r="T7" s="13"/>
      <c r="U7" s="13"/>
    </row>
    <row r="8" ht="22.8" customHeight="1" spans="1:21">
      <c r="A8" s="22"/>
      <c r="B8" s="22"/>
      <c r="C8" s="22"/>
      <c r="D8" s="20">
        <f t="shared" ref="D8:D13" si="0">D7</f>
        <v>127045</v>
      </c>
      <c r="E8" s="20" t="str">
        <f>E7</f>
        <v>益阳市赫山区世通学校</v>
      </c>
      <c r="F8" s="28">
        <f>G8+K8</f>
        <v>2014.06814</v>
      </c>
      <c r="G8" s="13">
        <f>H8+I8+J8</f>
        <v>1546.4688</v>
      </c>
      <c r="H8" s="13">
        <f>H9+H10</f>
        <v>1514.529</v>
      </c>
      <c r="I8" s="13">
        <f>I9</f>
        <v>31.9398</v>
      </c>
      <c r="J8" s="13">
        <f>J9</f>
        <v>0</v>
      </c>
      <c r="K8" s="13">
        <f>K9</f>
        <v>467.59934</v>
      </c>
      <c r="L8" s="13"/>
      <c r="M8" s="13">
        <f>M9</f>
        <v>467.59934</v>
      </c>
      <c r="N8" s="13"/>
      <c r="O8" s="13"/>
      <c r="P8" s="13"/>
      <c r="Q8" s="13">
        <f>Q9</f>
        <v>0</v>
      </c>
      <c r="R8" s="13"/>
      <c r="S8" s="13"/>
      <c r="T8" s="13"/>
      <c r="U8" s="13"/>
    </row>
    <row r="9" ht="22.8" customHeight="1" spans="1:21">
      <c r="A9" s="23" t="s">
        <v>165</v>
      </c>
      <c r="B9" s="23" t="s">
        <v>170</v>
      </c>
      <c r="C9" s="23" t="s">
        <v>167</v>
      </c>
      <c r="D9" s="19">
        <f t="shared" si="0"/>
        <v>127045</v>
      </c>
      <c r="E9" s="24" t="s">
        <v>174</v>
      </c>
      <c r="F9" s="21">
        <f>G9+K9</f>
        <v>1931.30994</v>
      </c>
      <c r="G9" s="6">
        <f>H9+I9+J9</f>
        <v>1463.7106</v>
      </c>
      <c r="H9" s="6">
        <f>'1收支总表'!F7-H10</f>
        <v>1431.7708</v>
      </c>
      <c r="I9" s="6">
        <f>'1收支总表'!F8</f>
        <v>31.9398</v>
      </c>
      <c r="J9" s="6">
        <f>'1收支总表'!F9</f>
        <v>0</v>
      </c>
      <c r="K9" s="6">
        <f>M9+Q9</f>
        <v>467.59934</v>
      </c>
      <c r="L9" s="6"/>
      <c r="M9" s="6">
        <f>'1收支总表'!F12</f>
        <v>467.59934</v>
      </c>
      <c r="N9" s="6"/>
      <c r="O9" s="6"/>
      <c r="P9" s="6"/>
      <c r="Q9" s="6">
        <f>'1收支总表'!F16</f>
        <v>0</v>
      </c>
      <c r="R9" s="6"/>
      <c r="S9" s="6"/>
      <c r="T9" s="6"/>
      <c r="U9" s="6"/>
    </row>
    <row r="10" ht="22.8" customHeight="1" spans="1:21">
      <c r="A10" s="23" t="s">
        <v>178</v>
      </c>
      <c r="B10" s="23" t="s">
        <v>179</v>
      </c>
      <c r="C10" s="23" t="s">
        <v>180</v>
      </c>
      <c r="D10" s="19">
        <f t="shared" si="0"/>
        <v>127045</v>
      </c>
      <c r="E10" s="24" t="s">
        <v>182</v>
      </c>
      <c r="F10" s="21">
        <f>G10</f>
        <v>82.7582</v>
      </c>
      <c r="G10" s="6">
        <f>H10</f>
        <v>82.7582</v>
      </c>
      <c r="H10" s="6">
        <f>'1收支总表'!D13</f>
        <v>82.7582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165</v>
      </c>
      <c r="B11" s="23" t="s">
        <v>166</v>
      </c>
      <c r="C11" s="23" t="s">
        <v>167</v>
      </c>
      <c r="D11" s="19">
        <f t="shared" si="0"/>
        <v>127045</v>
      </c>
      <c r="E11" s="24" t="s">
        <v>169</v>
      </c>
      <c r="F11" s="21">
        <v>0</v>
      </c>
      <c r="G11" s="6"/>
      <c r="H11" s="6"/>
      <c r="I11" s="6"/>
      <c r="J11" s="6"/>
      <c r="K11" s="6">
        <v>0</v>
      </c>
      <c r="L11" s="6"/>
      <c r="M11" s="6">
        <v>0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165</v>
      </c>
      <c r="B12" s="23" t="s">
        <v>170</v>
      </c>
      <c r="C12" s="23" t="s">
        <v>166</v>
      </c>
      <c r="D12" s="19">
        <f t="shared" si="0"/>
        <v>127045</v>
      </c>
      <c r="E12" s="24" t="s">
        <v>172</v>
      </c>
      <c r="F12" s="21">
        <v>0</v>
      </c>
      <c r="G12" s="6"/>
      <c r="H12" s="6"/>
      <c r="I12" s="6"/>
      <c r="J12" s="6"/>
      <c r="K12" s="6">
        <v>0</v>
      </c>
      <c r="L12" s="6"/>
      <c r="M12" s="6">
        <v>0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165</v>
      </c>
      <c r="B13" s="23" t="s">
        <v>175</v>
      </c>
      <c r="C13" s="23" t="s">
        <v>170</v>
      </c>
      <c r="D13" s="19">
        <f t="shared" si="0"/>
        <v>127045</v>
      </c>
      <c r="E13" s="24" t="s">
        <v>177</v>
      </c>
      <c r="F13" s="21">
        <v>0</v>
      </c>
      <c r="G13" s="6"/>
      <c r="H13" s="6"/>
      <c r="I13" s="6"/>
      <c r="J13" s="6"/>
      <c r="K13" s="6">
        <v>0</v>
      </c>
      <c r="L13" s="6"/>
      <c r="M13" s="6">
        <v>0</v>
      </c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7" sqref="D7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16" t="s">
        <v>211</v>
      </c>
    </row>
    <row r="2" ht="31.9" customHeight="1" spans="1:4">
      <c r="A2" s="17" t="s">
        <v>11</v>
      </c>
      <c r="B2" s="17"/>
      <c r="C2" s="17"/>
      <c r="D2" s="17"/>
    </row>
    <row r="3" ht="18.95" customHeight="1" spans="1:5">
      <c r="A3" s="11" t="str">
        <f>'5支出分类（部门预算）'!A3</f>
        <v>部门：127045_益阳市赫山区世通学校</v>
      </c>
      <c r="B3" s="11"/>
      <c r="C3" s="11"/>
      <c r="D3" s="9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41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41"/>
    </row>
    <row r="6" ht="20.2" customHeight="1" spans="1:5">
      <c r="A6" s="14" t="s">
        <v>212</v>
      </c>
      <c r="B6" s="13">
        <f>B7</f>
        <v>1868.84994</v>
      </c>
      <c r="C6" s="14" t="s">
        <v>213</v>
      </c>
      <c r="D6" s="28">
        <f>B6</f>
        <v>1868.84994</v>
      </c>
      <c r="E6" s="7"/>
    </row>
    <row r="7" ht="20.2" customHeight="1" spans="1:5">
      <c r="A7" s="5" t="s">
        <v>214</v>
      </c>
      <c r="B7" s="6">
        <f>'1收支总表'!B6</f>
        <v>1868.84994</v>
      </c>
      <c r="C7" s="5" t="s">
        <v>40</v>
      </c>
      <c r="D7" s="21"/>
      <c r="E7" s="7"/>
    </row>
    <row r="8" ht="20.2" customHeight="1" spans="1:5">
      <c r="A8" s="5" t="s">
        <v>215</v>
      </c>
      <c r="B8" s="6"/>
      <c r="C8" s="5" t="s">
        <v>44</v>
      </c>
      <c r="D8" s="21"/>
      <c r="E8" s="7"/>
    </row>
    <row r="9" ht="31.05" customHeight="1" spans="1:5">
      <c r="A9" s="5" t="s">
        <v>47</v>
      </c>
      <c r="B9" s="6"/>
      <c r="C9" s="5" t="s">
        <v>48</v>
      </c>
      <c r="D9" s="21"/>
      <c r="E9" s="7"/>
    </row>
    <row r="10" ht="20.2" customHeight="1" spans="1:5">
      <c r="A10" s="5" t="s">
        <v>216</v>
      </c>
      <c r="B10" s="6"/>
      <c r="C10" s="5" t="s">
        <v>52</v>
      </c>
      <c r="D10" s="21"/>
      <c r="E10" s="7"/>
    </row>
    <row r="11" ht="20.2" customHeight="1" spans="1:5">
      <c r="A11" s="5" t="s">
        <v>217</v>
      </c>
      <c r="B11" s="6"/>
      <c r="C11" s="5" t="s">
        <v>56</v>
      </c>
      <c r="D11" s="21">
        <f>B7</f>
        <v>1868.84994</v>
      </c>
      <c r="E11" s="7"/>
    </row>
    <row r="12" ht="20.2" customHeight="1" spans="1:5">
      <c r="A12" s="5" t="s">
        <v>218</v>
      </c>
      <c r="B12" s="6"/>
      <c r="C12" s="5" t="s">
        <v>60</v>
      </c>
      <c r="D12" s="21"/>
      <c r="E12" s="7"/>
    </row>
    <row r="13" ht="20.2" customHeight="1" spans="1:5">
      <c r="A13" s="14" t="s">
        <v>219</v>
      </c>
      <c r="B13" s="13"/>
      <c r="C13" s="5" t="s">
        <v>64</v>
      </c>
      <c r="D13" s="21"/>
      <c r="E13" s="7"/>
    </row>
    <row r="14" ht="20.2" customHeight="1" spans="1:5">
      <c r="A14" s="5" t="s">
        <v>214</v>
      </c>
      <c r="B14" s="6"/>
      <c r="C14" s="5" t="s">
        <v>68</v>
      </c>
      <c r="D14" s="21"/>
      <c r="E14" s="7"/>
    </row>
    <row r="15" ht="20.2" customHeight="1" spans="1:5">
      <c r="A15" s="5" t="s">
        <v>216</v>
      </c>
      <c r="B15" s="6"/>
      <c r="C15" s="5" t="s">
        <v>72</v>
      </c>
      <c r="D15" s="21"/>
      <c r="E15" s="7"/>
    </row>
    <row r="16" ht="20.2" customHeight="1" spans="1:5">
      <c r="A16" s="5" t="s">
        <v>217</v>
      </c>
      <c r="B16" s="6"/>
      <c r="C16" s="5" t="s">
        <v>76</v>
      </c>
      <c r="D16" s="21"/>
      <c r="E16" s="7"/>
    </row>
    <row r="17" ht="20.2" customHeight="1" spans="1:5">
      <c r="A17" s="5" t="s">
        <v>218</v>
      </c>
      <c r="B17" s="6"/>
      <c r="C17" s="5" t="s">
        <v>80</v>
      </c>
      <c r="D17" s="21"/>
      <c r="E17" s="7"/>
    </row>
    <row r="18" ht="20.2" customHeight="1" spans="1:5">
      <c r="A18" s="5"/>
      <c r="B18" s="6"/>
      <c r="C18" s="5" t="s">
        <v>84</v>
      </c>
      <c r="D18" s="21"/>
      <c r="E18" s="7"/>
    </row>
    <row r="19" ht="20.2" customHeight="1" spans="1:5">
      <c r="A19" s="5"/>
      <c r="B19" s="5"/>
      <c r="C19" s="5" t="s">
        <v>88</v>
      </c>
      <c r="D19" s="21"/>
      <c r="E19" s="7"/>
    </row>
    <row r="20" ht="20.2" customHeight="1" spans="1:5">
      <c r="A20" s="5"/>
      <c r="B20" s="5"/>
      <c r="C20" s="5" t="s">
        <v>92</v>
      </c>
      <c r="D20" s="21"/>
      <c r="E20" s="7"/>
    </row>
    <row r="21" ht="20.2" customHeight="1" spans="1:5">
      <c r="A21" s="5"/>
      <c r="B21" s="5"/>
      <c r="C21" s="5" t="s">
        <v>96</v>
      </c>
      <c r="D21" s="21"/>
      <c r="E21" s="7"/>
    </row>
    <row r="22" ht="20.2" customHeight="1" spans="1:5">
      <c r="A22" s="5"/>
      <c r="B22" s="5"/>
      <c r="C22" s="5" t="s">
        <v>99</v>
      </c>
      <c r="D22" s="21"/>
      <c r="E22" s="7"/>
    </row>
    <row r="23" ht="20.2" customHeight="1" spans="1:5">
      <c r="A23" s="5"/>
      <c r="B23" s="5"/>
      <c r="C23" s="5" t="s">
        <v>102</v>
      </c>
      <c r="D23" s="21"/>
      <c r="E23" s="7"/>
    </row>
    <row r="24" ht="20.2" customHeight="1" spans="1:5">
      <c r="A24" s="5"/>
      <c r="B24" s="5"/>
      <c r="C24" s="5" t="s">
        <v>104</v>
      </c>
      <c r="D24" s="21"/>
      <c r="E24" s="7"/>
    </row>
    <row r="25" ht="20.2" customHeight="1" spans="1:5">
      <c r="A25" s="5"/>
      <c r="B25" s="5"/>
      <c r="C25" s="5" t="s">
        <v>106</v>
      </c>
      <c r="D25" s="21"/>
      <c r="E25" s="7"/>
    </row>
    <row r="26" ht="20.2" customHeight="1" spans="1:5">
      <c r="A26" s="5"/>
      <c r="B26" s="5"/>
      <c r="C26" s="5" t="s">
        <v>108</v>
      </c>
      <c r="D26" s="21"/>
      <c r="E26" s="7"/>
    </row>
    <row r="27" ht="20.2" customHeight="1" spans="1:5">
      <c r="A27" s="5"/>
      <c r="B27" s="5"/>
      <c r="C27" s="5" t="s">
        <v>110</v>
      </c>
      <c r="D27" s="21"/>
      <c r="E27" s="7"/>
    </row>
    <row r="28" ht="20.2" customHeight="1" spans="1:5">
      <c r="A28" s="5"/>
      <c r="B28" s="5"/>
      <c r="C28" s="5" t="s">
        <v>112</v>
      </c>
      <c r="D28" s="21"/>
      <c r="E28" s="7"/>
    </row>
    <row r="29" ht="20.2" customHeight="1" spans="1:5">
      <c r="A29" s="5"/>
      <c r="B29" s="5"/>
      <c r="C29" s="5" t="s">
        <v>114</v>
      </c>
      <c r="D29" s="21"/>
      <c r="E29" s="7"/>
    </row>
    <row r="30" ht="20.2" customHeight="1" spans="1:5">
      <c r="A30" s="5"/>
      <c r="B30" s="5"/>
      <c r="C30" s="5" t="s">
        <v>116</v>
      </c>
      <c r="D30" s="21"/>
      <c r="E30" s="7"/>
    </row>
    <row r="31" ht="20.2" customHeight="1" spans="1:5">
      <c r="A31" s="5"/>
      <c r="B31" s="5"/>
      <c r="C31" s="5" t="s">
        <v>118</v>
      </c>
      <c r="D31" s="21"/>
      <c r="E31" s="7"/>
    </row>
    <row r="32" ht="20.2" customHeight="1" spans="1:5">
      <c r="A32" s="5"/>
      <c r="B32" s="5"/>
      <c r="C32" s="5" t="s">
        <v>120</v>
      </c>
      <c r="D32" s="21"/>
      <c r="E32" s="7"/>
    </row>
    <row r="33" ht="20.2" customHeight="1" spans="1:5">
      <c r="A33" s="5"/>
      <c r="B33" s="5"/>
      <c r="C33" s="5" t="s">
        <v>122</v>
      </c>
      <c r="D33" s="21"/>
      <c r="E33" s="7"/>
    </row>
    <row r="34" ht="20.2" customHeight="1" spans="1:5">
      <c r="A34" s="5"/>
      <c r="B34" s="5"/>
      <c r="C34" s="5" t="s">
        <v>123</v>
      </c>
      <c r="D34" s="21"/>
      <c r="E34" s="7"/>
    </row>
    <row r="35" ht="20.2" customHeight="1" spans="1:5">
      <c r="A35" s="5"/>
      <c r="B35" s="5"/>
      <c r="C35" s="5" t="s">
        <v>124</v>
      </c>
      <c r="D35" s="21"/>
      <c r="E35" s="7"/>
    </row>
    <row r="36" ht="20.2" customHeight="1" spans="1:5">
      <c r="A36" s="5"/>
      <c r="B36" s="5"/>
      <c r="C36" s="5" t="s">
        <v>125</v>
      </c>
      <c r="D36" s="21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14"/>
      <c r="B38" s="14"/>
      <c r="C38" s="14" t="s">
        <v>220</v>
      </c>
      <c r="D38" s="13"/>
      <c r="E38" s="42"/>
    </row>
    <row r="39" ht="20.2" customHeight="1" spans="1:5">
      <c r="A39" s="14"/>
      <c r="B39" s="14"/>
      <c r="C39" s="14"/>
      <c r="D39" s="14"/>
      <c r="E39" s="42"/>
    </row>
    <row r="40" ht="20.2" customHeight="1" spans="1:5">
      <c r="A40" s="18" t="s">
        <v>221</v>
      </c>
      <c r="B40" s="13">
        <f>B7</f>
        <v>1868.84994</v>
      </c>
      <c r="C40" s="18" t="s">
        <v>222</v>
      </c>
      <c r="D40" s="28">
        <f>B40</f>
        <v>1868.84994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9" sqref="C9"/>
    </sheetView>
  </sheetViews>
  <sheetFormatPr defaultColWidth="10" defaultRowHeight="13.5"/>
  <cols>
    <col min="1" max="1" width="24.1583333333333" customWidth="1"/>
    <col min="2" max="2" width="23.6166666666667" customWidth="1"/>
    <col min="3" max="3" width="16.4166666666667" customWidth="1"/>
    <col min="4" max="4" width="11.5333333333333" customWidth="1"/>
    <col min="5" max="5" width="16.15" customWidth="1"/>
    <col min="6" max="7" width="16.4166666666667" customWidth="1"/>
    <col min="8" max="8" width="15.2" customWidth="1"/>
    <col min="9" max="9" width="21.85" customWidth="1"/>
  </cols>
  <sheetData>
    <row r="1" ht="16.35" customHeight="1" spans="1:1">
      <c r="A1" s="1"/>
    </row>
    <row r="2" ht="43.1" customHeight="1" spans="1:9">
      <c r="A2" s="10" t="s">
        <v>12</v>
      </c>
      <c r="B2" s="10"/>
      <c r="C2" s="10"/>
      <c r="D2" s="10"/>
      <c r="E2" s="10"/>
      <c r="F2" s="10"/>
      <c r="G2" s="10"/>
      <c r="H2" s="10"/>
      <c r="I2" s="10"/>
    </row>
    <row r="3" ht="24.15" customHeight="1" spans="1:5">
      <c r="A3" s="3" t="str">
        <f>'6财政拨款收支总表'!A3</f>
        <v>部门：127045_益阳市赫山区世通学校</v>
      </c>
      <c r="B3" s="3"/>
      <c r="C3" s="3"/>
      <c r="D3" s="3"/>
      <c r="E3" s="3"/>
    </row>
    <row r="4" ht="18.1" customHeight="1" spans="8:9">
      <c r="H4" s="9" t="s">
        <v>31</v>
      </c>
      <c r="I4" s="9"/>
    </row>
    <row r="5" ht="25" customHeight="1" spans="1:9">
      <c r="A5" s="26" t="s">
        <v>155</v>
      </c>
      <c r="B5" s="26" t="s">
        <v>156</v>
      </c>
      <c r="C5" s="26" t="s">
        <v>135</v>
      </c>
      <c r="D5" s="26" t="s">
        <v>157</v>
      </c>
      <c r="E5" s="26"/>
      <c r="F5" s="26"/>
      <c r="G5" s="26"/>
      <c r="H5" s="26"/>
      <c r="I5" s="26" t="s">
        <v>158</v>
      </c>
    </row>
    <row r="6" ht="25.85" customHeight="1" spans="1:9">
      <c r="A6" s="26"/>
      <c r="B6" s="26"/>
      <c r="C6" s="26"/>
      <c r="D6" s="26" t="s">
        <v>137</v>
      </c>
      <c r="E6" s="26" t="s">
        <v>223</v>
      </c>
      <c r="F6" s="26"/>
      <c r="G6" s="26" t="s">
        <v>224</v>
      </c>
      <c r="H6" s="26" t="s">
        <v>225</v>
      </c>
      <c r="I6" s="26"/>
    </row>
    <row r="7" ht="39.65" customHeight="1" spans="1:9">
      <c r="A7" s="26"/>
      <c r="B7" s="26"/>
      <c r="C7" s="26"/>
      <c r="D7" s="26"/>
      <c r="E7" s="26" t="s">
        <v>203</v>
      </c>
      <c r="F7" s="26" t="s">
        <v>195</v>
      </c>
      <c r="G7" s="26"/>
      <c r="H7" s="26"/>
      <c r="I7" s="26"/>
    </row>
    <row r="8" ht="23.25" customHeight="1" spans="1:9">
      <c r="A8" s="27"/>
      <c r="B8" s="27" t="s">
        <v>135</v>
      </c>
      <c r="C8" s="37">
        <f>C9</f>
        <v>1868.84994</v>
      </c>
      <c r="D8" s="37">
        <f>D9</f>
        <v>1463.7106</v>
      </c>
      <c r="E8" s="37">
        <f>E9</f>
        <v>1431.7708</v>
      </c>
      <c r="F8" s="37">
        <f>F14</f>
        <v>0</v>
      </c>
      <c r="G8" s="37"/>
      <c r="H8" s="37">
        <f>H12</f>
        <v>31.9398</v>
      </c>
      <c r="I8" s="37">
        <f>I12</f>
        <v>405.13934</v>
      </c>
    </row>
    <row r="9" ht="26.05" customHeight="1" spans="1:9">
      <c r="A9" s="29">
        <f>'5支出分类（部门预算）'!D7</f>
        <v>127045</v>
      </c>
      <c r="B9" s="29" t="str">
        <f>'5支出分类（部门预算）'!E7</f>
        <v>益阳市赫山区世通学校</v>
      </c>
      <c r="C9" s="37">
        <f>C10</f>
        <v>1868.84994</v>
      </c>
      <c r="D9" s="37">
        <f>D10</f>
        <v>1463.7106</v>
      </c>
      <c r="E9" s="37">
        <f>E10</f>
        <v>1431.7708</v>
      </c>
      <c r="F9" s="37">
        <f>F14</f>
        <v>0</v>
      </c>
      <c r="G9" s="37"/>
      <c r="H9" s="37">
        <f>H12</f>
        <v>31.9398</v>
      </c>
      <c r="I9" s="37">
        <f>I12</f>
        <v>405.13934</v>
      </c>
    </row>
    <row r="10" ht="26.05" customHeight="1" spans="1:9">
      <c r="A10" s="38">
        <f>A9</f>
        <v>127045</v>
      </c>
      <c r="B10" s="38" t="str">
        <f>B9</f>
        <v>益阳市赫山区世通学校</v>
      </c>
      <c r="C10" s="37">
        <f>C11</f>
        <v>1868.84994</v>
      </c>
      <c r="D10" s="37">
        <f>D11</f>
        <v>1463.7106</v>
      </c>
      <c r="E10" s="37">
        <f>E12</f>
        <v>1431.7708</v>
      </c>
      <c r="F10" s="37">
        <f>F14</f>
        <v>0</v>
      </c>
      <c r="G10" s="37"/>
      <c r="H10" s="37">
        <f>H12</f>
        <v>31.9398</v>
      </c>
      <c r="I10" s="37">
        <f>I12</f>
        <v>405.13934</v>
      </c>
    </row>
    <row r="11" ht="25.85" customHeight="1" spans="1:9">
      <c r="A11" s="38" t="s">
        <v>165</v>
      </c>
      <c r="B11" s="29" t="s">
        <v>226</v>
      </c>
      <c r="C11" s="37">
        <f>C12</f>
        <v>1868.84994</v>
      </c>
      <c r="D11" s="37">
        <f>D12</f>
        <v>1463.7106</v>
      </c>
      <c r="E11" s="37">
        <f>E12</f>
        <v>1431.7708</v>
      </c>
      <c r="F11" s="37">
        <f>F14</f>
        <v>0</v>
      </c>
      <c r="G11" s="37"/>
      <c r="H11" s="37">
        <f>H12</f>
        <v>31.9398</v>
      </c>
      <c r="I11" s="37">
        <f>I12</f>
        <v>405.13934</v>
      </c>
    </row>
    <row r="12" ht="26.7" customHeight="1" spans="1:9">
      <c r="A12" s="38" t="s">
        <v>227</v>
      </c>
      <c r="B12" s="29" t="s">
        <v>228</v>
      </c>
      <c r="C12" s="37">
        <f>C14</f>
        <v>1868.84994</v>
      </c>
      <c r="D12" s="37">
        <f>D14</f>
        <v>1463.7106</v>
      </c>
      <c r="E12" s="37">
        <f>E14</f>
        <v>1431.7708</v>
      </c>
      <c r="F12" s="37">
        <f>F14</f>
        <v>0</v>
      </c>
      <c r="G12" s="37"/>
      <c r="H12" s="37">
        <f>H14</f>
        <v>31.9398</v>
      </c>
      <c r="I12" s="37">
        <f>I14</f>
        <v>405.13934</v>
      </c>
    </row>
    <row r="13" ht="30.15" customHeight="1" spans="1:9">
      <c r="A13" s="38" t="s">
        <v>229</v>
      </c>
      <c r="B13" s="29" t="s">
        <v>230</v>
      </c>
      <c r="C13" s="39">
        <v>0</v>
      </c>
      <c r="D13" s="39"/>
      <c r="E13" s="40"/>
      <c r="F13" s="40"/>
      <c r="G13" s="40"/>
      <c r="H13" s="40"/>
      <c r="I13" s="40">
        <v>0</v>
      </c>
    </row>
    <row r="14" ht="30.15" customHeight="1" spans="1:9">
      <c r="A14" s="38" t="s">
        <v>231</v>
      </c>
      <c r="B14" s="29" t="s">
        <v>232</v>
      </c>
      <c r="C14" s="39">
        <f>D14+I14</f>
        <v>1868.84994</v>
      </c>
      <c r="D14" s="39">
        <f>E14+F14+H14</f>
        <v>1463.7106</v>
      </c>
      <c r="E14" s="40">
        <f>VLOOKUP(封面!E5,[2]Sheet1!$A:$K,11,0)/10000</f>
        <v>1431.7708</v>
      </c>
      <c r="F14" s="40" cm="1">
        <f t="array" ref="F14">SUM(IF([2]Sheet1!$A:$A=封面!E5,[2]Sheet1!$N:$O,0))/10000</f>
        <v>0</v>
      </c>
      <c r="G14" s="40"/>
      <c r="H14" s="40" cm="1">
        <f t="array" ref="H14">SUM(IF([2]Sheet1!$A:$A=封面!E5,[2]Sheet1!$P:$T,0))/10000</f>
        <v>31.9398</v>
      </c>
      <c r="I14" s="40" cm="1">
        <f t="array" ref="I14">SUM(IF([2]Sheet1!$A:$A=封面!E5,[2]Sheet1!$U:$AH,0))/10000</f>
        <v>405.13934</v>
      </c>
    </row>
    <row r="15" ht="26.7" customHeight="1" spans="1:9">
      <c r="A15" s="38" t="s">
        <v>233</v>
      </c>
      <c r="B15" s="29" t="s">
        <v>234</v>
      </c>
      <c r="C15" s="37">
        <v>0</v>
      </c>
      <c r="D15" s="37"/>
      <c r="E15" s="37"/>
      <c r="F15" s="37"/>
      <c r="G15" s="37"/>
      <c r="H15" s="37"/>
      <c r="I15" s="37">
        <v>0</v>
      </c>
    </row>
    <row r="16" ht="30.15" customHeight="1" spans="1:9">
      <c r="A16" s="38" t="s">
        <v>235</v>
      </c>
      <c r="B16" s="29" t="s">
        <v>236</v>
      </c>
      <c r="C16" s="39">
        <v>0</v>
      </c>
      <c r="D16" s="39"/>
      <c r="E16" s="40"/>
      <c r="F16" s="40"/>
      <c r="G16" s="40"/>
      <c r="H16" s="40"/>
      <c r="I16" s="40">
        <v>0</v>
      </c>
    </row>
    <row r="17" ht="26.7" customHeight="1" spans="1:9">
      <c r="A17" s="38" t="s">
        <v>237</v>
      </c>
      <c r="B17" s="29" t="s">
        <v>238</v>
      </c>
      <c r="C17" s="37">
        <v>0</v>
      </c>
      <c r="D17" s="37"/>
      <c r="E17" s="37"/>
      <c r="F17" s="37"/>
      <c r="G17" s="37"/>
      <c r="H17" s="37"/>
      <c r="I17" s="37">
        <v>0</v>
      </c>
    </row>
    <row r="18" ht="30.15" customHeight="1" spans="1:9">
      <c r="A18" s="38" t="s">
        <v>239</v>
      </c>
      <c r="B18" s="29" t="s">
        <v>240</v>
      </c>
      <c r="C18" s="39">
        <v>0</v>
      </c>
      <c r="D18" s="39"/>
      <c r="E18" s="40"/>
      <c r="F18" s="40"/>
      <c r="G18" s="40"/>
      <c r="H18" s="40"/>
      <c r="I18" s="40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0" workbookViewId="0">
      <selection activeCell="A3" sqref="A3:A4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</cols>
  <sheetData>
    <row r="1" ht="32.75" customHeight="1" spans="1:5">
      <c r="A1" s="17" t="s">
        <v>13</v>
      </c>
      <c r="B1" s="17"/>
      <c r="C1" s="17"/>
      <c r="D1" s="17"/>
      <c r="E1" s="17"/>
    </row>
    <row r="2" ht="25" customHeight="1" spans="1:5">
      <c r="A2" s="11" t="str">
        <f>'7一般公共预算支出表'!A3</f>
        <v>部门：127045_益阳市赫山区世通学校</v>
      </c>
      <c r="B2" s="11"/>
      <c r="C2" s="11"/>
      <c r="D2" s="1"/>
      <c r="E2" s="16" t="s">
        <v>31</v>
      </c>
    </row>
    <row r="3" ht="19.8" customHeight="1" spans="1:5">
      <c r="A3" s="26" t="s">
        <v>155</v>
      </c>
      <c r="B3" s="26" t="s">
        <v>156</v>
      </c>
      <c r="C3" s="26" t="s">
        <v>157</v>
      </c>
      <c r="D3" s="26"/>
      <c r="E3" s="26"/>
    </row>
    <row r="4" ht="21.55" customHeight="1" spans="1:5">
      <c r="A4" s="26"/>
      <c r="B4" s="26"/>
      <c r="C4" s="26" t="s">
        <v>135</v>
      </c>
      <c r="D4" s="26" t="s">
        <v>223</v>
      </c>
      <c r="E4" s="26" t="s">
        <v>225</v>
      </c>
    </row>
    <row r="5" ht="19.55" customHeight="1" spans="1:5">
      <c r="A5" s="34" t="s">
        <v>241</v>
      </c>
      <c r="B5" s="34" t="s">
        <v>241</v>
      </c>
      <c r="C5" s="34">
        <v>1</v>
      </c>
      <c r="D5" s="34">
        <v>2</v>
      </c>
      <c r="E5" s="34">
        <v>3</v>
      </c>
    </row>
    <row r="6" ht="19.55" customHeight="1" spans="1:5">
      <c r="A6" s="27"/>
      <c r="B6" s="27" t="s">
        <v>135</v>
      </c>
      <c r="C6" s="32">
        <f>D6+E6</f>
        <v>1463.7106</v>
      </c>
      <c r="D6" s="32">
        <f>D7+D31</f>
        <v>1431.7708</v>
      </c>
      <c r="E6" s="32">
        <f>E16</f>
        <v>31.9398</v>
      </c>
    </row>
    <row r="7" ht="19.55" customHeight="1" spans="1:5">
      <c r="A7" s="29" t="s">
        <v>242</v>
      </c>
      <c r="B7" s="29" t="s">
        <v>203</v>
      </c>
      <c r="C7" s="32">
        <f t="shared" ref="C7:C15" si="0">D7</f>
        <v>1431.7708</v>
      </c>
      <c r="D7" s="32">
        <f>SUM(D8:D15)</f>
        <v>1431.7708</v>
      </c>
      <c r="E7" s="32"/>
    </row>
    <row r="8" ht="19.55" customHeight="1" spans="1:5">
      <c r="A8" s="35" t="s">
        <v>243</v>
      </c>
      <c r="B8" s="35" t="s">
        <v>244</v>
      </c>
      <c r="C8" s="36">
        <f t="shared" si="0"/>
        <v>656.3164</v>
      </c>
      <c r="D8" s="36">
        <f>VLOOKUP(封面!E5,[2]Sheet1!$A:$B,2,0)/10000</f>
        <v>656.3164</v>
      </c>
      <c r="E8" s="36"/>
    </row>
    <row r="9" ht="19.55" customHeight="1" spans="1:5">
      <c r="A9" s="35" t="s">
        <v>245</v>
      </c>
      <c r="B9" s="35" t="s">
        <v>246</v>
      </c>
      <c r="C9" s="36">
        <f t="shared" si="0"/>
        <v>0</v>
      </c>
      <c r="D9" s="36">
        <f>VLOOKUP(封面!E5,[2]Sheet1!$A:$C,3,0)/10000</f>
        <v>0</v>
      </c>
      <c r="E9" s="36"/>
    </row>
    <row r="10" ht="19.55" customHeight="1" spans="1:5">
      <c r="A10" s="35" t="s">
        <v>247</v>
      </c>
      <c r="B10" s="35" t="s">
        <v>248</v>
      </c>
      <c r="C10" s="36">
        <f t="shared" si="0"/>
        <v>0</v>
      </c>
      <c r="D10" s="36">
        <f>VLOOKUP(封面!E5,[2]Sheet1!$A:$D,4,0)/10000</f>
        <v>0</v>
      </c>
      <c r="E10" s="36"/>
    </row>
    <row r="11" ht="19.55" customHeight="1" spans="1:5">
      <c r="A11" s="35" t="s">
        <v>249</v>
      </c>
      <c r="B11" s="35" t="s">
        <v>250</v>
      </c>
      <c r="C11" s="36">
        <f t="shared" si="0"/>
        <v>373.5692</v>
      </c>
      <c r="D11" s="36">
        <f>VLOOKUP(封面!E5,[2]Sheet1!$A:$F,6,0)/10000</f>
        <v>373.5692</v>
      </c>
      <c r="E11" s="36"/>
    </row>
    <row r="12" ht="19.55" customHeight="1" spans="1:5">
      <c r="A12" s="35" t="s">
        <v>251</v>
      </c>
      <c r="B12" s="35" t="s">
        <v>252</v>
      </c>
      <c r="C12" s="36">
        <f t="shared" si="0"/>
        <v>166.6464</v>
      </c>
      <c r="D12" s="36">
        <f>VLOOKUP(封面!E5,[2]Sheet1!$A:$G,7,0)/10000</f>
        <v>166.6464</v>
      </c>
      <c r="E12" s="36"/>
    </row>
    <row r="13" ht="19.55" customHeight="1" spans="1:5">
      <c r="A13" s="35" t="s">
        <v>253</v>
      </c>
      <c r="B13" s="35" t="s">
        <v>254</v>
      </c>
      <c r="C13" s="36">
        <f t="shared" si="0"/>
        <v>110.2683</v>
      </c>
      <c r="D13" s="36">
        <f>VLOOKUP(封面!E5,[2]Sheet1!$A:$H,8,0)/10000</f>
        <v>110.2683</v>
      </c>
      <c r="E13" s="36"/>
    </row>
    <row r="14" ht="19.55" customHeight="1" spans="1:5">
      <c r="A14" s="35" t="s">
        <v>255</v>
      </c>
      <c r="B14" s="35" t="s">
        <v>256</v>
      </c>
      <c r="C14" s="36">
        <f t="shared" si="0"/>
        <v>124.9705</v>
      </c>
      <c r="D14" s="36">
        <f>VLOOKUP(封面!E5,[2]Sheet1!$A:$I,9,0)/10000</f>
        <v>124.9705</v>
      </c>
      <c r="E14" s="36"/>
    </row>
    <row r="15" ht="19.55" customHeight="1" spans="1:5">
      <c r="A15" s="35" t="s">
        <v>257</v>
      </c>
      <c r="B15" s="35" t="s">
        <v>258</v>
      </c>
      <c r="C15" s="36">
        <f t="shared" si="0"/>
        <v>0</v>
      </c>
      <c r="D15" s="36">
        <f>VLOOKUP(封面!E5,[2]Sheet1!$A:$J,10,0)/10000</f>
        <v>0</v>
      </c>
      <c r="E15" s="36"/>
    </row>
    <row r="16" ht="19.55" customHeight="1" spans="1:5">
      <c r="A16" s="29" t="s">
        <v>259</v>
      </c>
      <c r="B16" s="29" t="s">
        <v>224</v>
      </c>
      <c r="C16" s="32">
        <f>C28+C29</f>
        <v>31.9398</v>
      </c>
      <c r="D16" s="32"/>
      <c r="E16" s="32">
        <f>E28+E29</f>
        <v>31.9398</v>
      </c>
    </row>
    <row r="17" ht="19.55" customHeight="1" spans="1:5">
      <c r="A17" s="35" t="s">
        <v>260</v>
      </c>
      <c r="B17" s="35" t="s">
        <v>261</v>
      </c>
      <c r="C17" s="36">
        <v>0</v>
      </c>
      <c r="D17" s="36"/>
      <c r="E17" s="36">
        <v>0</v>
      </c>
    </row>
    <row r="18" ht="19.55" customHeight="1" spans="1:5">
      <c r="A18" s="35" t="s">
        <v>262</v>
      </c>
      <c r="B18" s="35" t="s">
        <v>263</v>
      </c>
      <c r="C18" s="36">
        <v>0</v>
      </c>
      <c r="D18" s="36"/>
      <c r="E18" s="36">
        <v>0</v>
      </c>
    </row>
    <row r="19" ht="19.55" customHeight="1" spans="1:5">
      <c r="A19" s="35" t="s">
        <v>264</v>
      </c>
      <c r="B19" s="35" t="s">
        <v>265</v>
      </c>
      <c r="C19" s="36">
        <v>0</v>
      </c>
      <c r="D19" s="36"/>
      <c r="E19" s="36">
        <v>0</v>
      </c>
    </row>
    <row r="20" ht="19.55" customHeight="1" spans="1:5">
      <c r="A20" s="35" t="s">
        <v>266</v>
      </c>
      <c r="B20" s="35" t="s">
        <v>267</v>
      </c>
      <c r="C20" s="36">
        <v>0</v>
      </c>
      <c r="D20" s="36"/>
      <c r="E20" s="36">
        <v>0</v>
      </c>
    </row>
    <row r="21" ht="19.55" customHeight="1" spans="1:5">
      <c r="A21" s="35" t="s">
        <v>268</v>
      </c>
      <c r="B21" s="35" t="s">
        <v>269</v>
      </c>
      <c r="C21" s="36">
        <v>0</v>
      </c>
      <c r="D21" s="36"/>
      <c r="E21" s="36">
        <v>0</v>
      </c>
    </row>
    <row r="22" ht="19.55" customHeight="1" spans="1:5">
      <c r="A22" s="35" t="s">
        <v>270</v>
      </c>
      <c r="B22" s="35" t="s">
        <v>271</v>
      </c>
      <c r="C22" s="36">
        <v>0</v>
      </c>
      <c r="D22" s="36"/>
      <c r="E22" s="36">
        <v>0</v>
      </c>
    </row>
    <row r="23" ht="19.55" customHeight="1" spans="1:5">
      <c r="A23" s="35" t="s">
        <v>272</v>
      </c>
      <c r="B23" s="35" t="s">
        <v>273</v>
      </c>
      <c r="C23" s="36">
        <v>0</v>
      </c>
      <c r="D23" s="36"/>
      <c r="E23" s="36">
        <v>0</v>
      </c>
    </row>
    <row r="24" ht="19.55" customHeight="1" spans="1:5">
      <c r="A24" s="35" t="s">
        <v>274</v>
      </c>
      <c r="B24" s="35" t="s">
        <v>275</v>
      </c>
      <c r="C24" s="36">
        <v>0</v>
      </c>
      <c r="D24" s="36"/>
      <c r="E24" s="36">
        <v>0</v>
      </c>
    </row>
    <row r="25" ht="19.55" customHeight="1" spans="1:5">
      <c r="A25" s="35" t="s">
        <v>276</v>
      </c>
      <c r="B25" s="35" t="s">
        <v>277</v>
      </c>
      <c r="C25" s="36">
        <v>0</v>
      </c>
      <c r="D25" s="36"/>
      <c r="E25" s="36">
        <v>0</v>
      </c>
    </row>
    <row r="26" ht="19.55" customHeight="1" spans="1:5">
      <c r="A26" s="35" t="s">
        <v>278</v>
      </c>
      <c r="B26" s="35" t="s">
        <v>279</v>
      </c>
      <c r="C26" s="36">
        <v>0</v>
      </c>
      <c r="D26" s="36"/>
      <c r="E26" s="36">
        <v>0</v>
      </c>
    </row>
    <row r="27" ht="19.55" customHeight="1" spans="1:5">
      <c r="A27" s="35" t="s">
        <v>280</v>
      </c>
      <c r="B27" s="35" t="s">
        <v>281</v>
      </c>
      <c r="C27" s="36">
        <v>0</v>
      </c>
      <c r="D27" s="36"/>
      <c r="E27" s="36">
        <v>0</v>
      </c>
    </row>
    <row r="28" ht="19.55" customHeight="1" spans="1:5">
      <c r="A28" s="35" t="s">
        <v>282</v>
      </c>
      <c r="B28" s="35" t="s">
        <v>283</v>
      </c>
      <c r="C28" s="36">
        <f>E28</f>
        <v>12.3365</v>
      </c>
      <c r="D28" s="36"/>
      <c r="E28" s="36">
        <f>VLOOKUP(封面!E5,[2]Sheet1!$A:$P,16,0)/10000</f>
        <v>12.3365</v>
      </c>
    </row>
    <row r="29" ht="19.55" customHeight="1" spans="1:5">
      <c r="A29" s="35" t="s">
        <v>284</v>
      </c>
      <c r="B29" s="35" t="s">
        <v>285</v>
      </c>
      <c r="C29" s="36">
        <f>E29</f>
        <v>19.6033</v>
      </c>
      <c r="D29" s="36"/>
      <c r="E29" s="36">
        <f>VLOOKUP(封面!E5,[2]Sheet1!$A:$Q,17,0)/10000</f>
        <v>19.6033</v>
      </c>
    </row>
    <row r="30" ht="19.55" customHeight="1" spans="1:5">
      <c r="A30" s="35" t="s">
        <v>286</v>
      </c>
      <c r="B30" s="35" t="s">
        <v>287</v>
      </c>
      <c r="C30" s="36">
        <v>0</v>
      </c>
      <c r="D30" s="36"/>
      <c r="E30" s="36">
        <v>0</v>
      </c>
    </row>
    <row r="31" ht="19.55" customHeight="1" spans="1:5">
      <c r="A31" s="29" t="s">
        <v>288</v>
      </c>
      <c r="B31" s="29" t="s">
        <v>195</v>
      </c>
      <c r="C31" s="32">
        <f>C32+C33</f>
        <v>0</v>
      </c>
      <c r="D31" s="32">
        <f>D32+D33</f>
        <v>0</v>
      </c>
      <c r="E31" s="32"/>
    </row>
    <row r="32" ht="19.55" customHeight="1" spans="1:5">
      <c r="A32" s="35" t="s">
        <v>289</v>
      </c>
      <c r="B32" s="35" t="s">
        <v>290</v>
      </c>
      <c r="C32" s="36">
        <f>D32</f>
        <v>0</v>
      </c>
      <c r="D32" s="36">
        <f>VLOOKUP(封面!E5,[2]Sheet1!$A:$N,14,0)/10000</f>
        <v>0</v>
      </c>
      <c r="E32" s="36"/>
    </row>
    <row r="33" ht="19.55" customHeight="1" spans="1:5">
      <c r="A33" s="35" t="s">
        <v>291</v>
      </c>
      <c r="B33" s="35" t="s">
        <v>292</v>
      </c>
      <c r="C33" s="36">
        <f>D33</f>
        <v>0</v>
      </c>
      <c r="D33" s="36">
        <f>VLOOKUP(封面!E5,[2]Sheet1!$A:$O,15,0)/10000</f>
        <v>0</v>
      </c>
      <c r="E33" s="36"/>
    </row>
  </sheetData>
  <mergeCells count="5">
    <mergeCell ref="A1:E1"/>
    <mergeCell ref="A2:C2"/>
    <mergeCell ref="C3:E3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1"/>
  <sheetViews>
    <sheetView topLeftCell="K1" workbookViewId="0">
      <selection activeCell="E10" sqref="E10"/>
    </sheetView>
  </sheetViews>
  <sheetFormatPr defaultColWidth="10" defaultRowHeight="13.5"/>
  <cols>
    <col min="1" max="1" width="19.5416666666667" customWidth="1"/>
    <col min="2" max="2" width="41.525" customWidth="1"/>
    <col min="3" max="52" width="9.76666666666667" customWidth="1"/>
    <col min="53" max="61" width="10.3166666666667" customWidth="1"/>
  </cols>
  <sheetData>
    <row r="1" ht="63.8" customHeight="1" spans="1:6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ht="25" customHeight="1" spans="4:6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9" t="s">
        <v>31</v>
      </c>
    </row>
    <row r="3" ht="27.6" customHeight="1" spans="1:61">
      <c r="A3" s="26" t="s">
        <v>155</v>
      </c>
      <c r="B3" s="26" t="s">
        <v>156</v>
      </c>
      <c r="C3" s="26" t="s">
        <v>293</v>
      </c>
      <c r="D3" s="26" t="s">
        <v>294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204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 t="s">
        <v>295</v>
      </c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</row>
    <row r="4" ht="27.6" customHeight="1" spans="1:61">
      <c r="A4" s="26"/>
      <c r="B4" s="26"/>
      <c r="C4" s="26"/>
      <c r="D4" s="26" t="s">
        <v>296</v>
      </c>
      <c r="E4" s="26" t="s">
        <v>297</v>
      </c>
      <c r="F4" s="26"/>
      <c r="G4" s="26"/>
      <c r="H4" s="26"/>
      <c r="I4" s="26"/>
      <c r="J4" s="26"/>
      <c r="K4" s="26" t="s">
        <v>298</v>
      </c>
      <c r="L4" s="26"/>
      <c r="M4" s="26"/>
      <c r="N4" s="26"/>
      <c r="O4" s="26"/>
      <c r="P4" s="26"/>
      <c r="Q4" s="26"/>
      <c r="R4" s="26" t="s">
        <v>299</v>
      </c>
      <c r="S4" s="26" t="s">
        <v>300</v>
      </c>
      <c r="T4" s="26" t="s">
        <v>301</v>
      </c>
      <c r="U4" s="26" t="s">
        <v>302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 t="s">
        <v>303</v>
      </c>
      <c r="AS4" s="26" t="s">
        <v>304</v>
      </c>
      <c r="AT4" s="26" t="s">
        <v>305</v>
      </c>
      <c r="AU4" s="26" t="s">
        <v>306</v>
      </c>
      <c r="AV4" s="26" t="s">
        <v>307</v>
      </c>
      <c r="AW4" s="26" t="s">
        <v>308</v>
      </c>
      <c r="AX4" s="26" t="s">
        <v>309</v>
      </c>
      <c r="AY4" s="26" t="s">
        <v>310</v>
      </c>
      <c r="AZ4" s="26" t="s">
        <v>311</v>
      </c>
      <c r="BA4" s="26" t="s">
        <v>312</v>
      </c>
      <c r="BB4" s="26" t="s">
        <v>313</v>
      </c>
      <c r="BC4" s="26" t="s">
        <v>314</v>
      </c>
      <c r="BD4" s="26" t="s">
        <v>315</v>
      </c>
      <c r="BE4" s="26" t="s">
        <v>316</v>
      </c>
      <c r="BF4" s="26" t="s">
        <v>317</v>
      </c>
      <c r="BG4" s="26" t="s">
        <v>318</v>
      </c>
      <c r="BH4" s="26" t="s">
        <v>319</v>
      </c>
      <c r="BI4" s="26" t="s">
        <v>320</v>
      </c>
    </row>
    <row r="5" ht="30.15" customHeight="1" spans="1:61">
      <c r="A5" s="26"/>
      <c r="B5" s="26"/>
      <c r="C5" s="26"/>
      <c r="D5" s="26"/>
      <c r="E5" s="26" t="s">
        <v>321</v>
      </c>
      <c r="F5" s="26" t="s">
        <v>322</v>
      </c>
      <c r="G5" s="26" t="s">
        <v>323</v>
      </c>
      <c r="H5" s="26" t="s">
        <v>324</v>
      </c>
      <c r="I5" s="26" t="s">
        <v>325</v>
      </c>
      <c r="J5" s="26" t="s">
        <v>326</v>
      </c>
      <c r="K5" s="26" t="s">
        <v>137</v>
      </c>
      <c r="L5" s="26" t="s">
        <v>327</v>
      </c>
      <c r="M5" s="26" t="s">
        <v>328</v>
      </c>
      <c r="N5" s="26" t="s">
        <v>329</v>
      </c>
      <c r="O5" s="26" t="s">
        <v>330</v>
      </c>
      <c r="P5" s="26" t="s">
        <v>331</v>
      </c>
      <c r="Q5" s="26" t="s">
        <v>332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</row>
    <row r="6" ht="30.15" customHeight="1" spans="1:6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137</v>
      </c>
      <c r="V6" s="26" t="s">
        <v>333</v>
      </c>
      <c r="W6" s="26" t="s">
        <v>334</v>
      </c>
      <c r="X6" s="26" t="s">
        <v>335</v>
      </c>
      <c r="Y6" s="26" t="s">
        <v>336</v>
      </c>
      <c r="Z6" s="26" t="s">
        <v>337</v>
      </c>
      <c r="AA6" s="26" t="s">
        <v>338</v>
      </c>
      <c r="AB6" s="26" t="s">
        <v>339</v>
      </c>
      <c r="AC6" s="26" t="s">
        <v>340</v>
      </c>
      <c r="AD6" s="26" t="s">
        <v>341</v>
      </c>
      <c r="AE6" s="26" t="s">
        <v>342</v>
      </c>
      <c r="AF6" s="26" t="s">
        <v>343</v>
      </c>
      <c r="AG6" s="26" t="s">
        <v>344</v>
      </c>
      <c r="AH6" s="26" t="s">
        <v>345</v>
      </c>
      <c r="AI6" s="26" t="s">
        <v>346</v>
      </c>
      <c r="AJ6" s="26" t="s">
        <v>347</v>
      </c>
      <c r="AK6" s="26" t="s">
        <v>348</v>
      </c>
      <c r="AL6" s="26" t="s">
        <v>349</v>
      </c>
      <c r="AM6" s="26" t="s">
        <v>350</v>
      </c>
      <c r="AN6" s="26" t="s">
        <v>351</v>
      </c>
      <c r="AO6" s="26" t="s">
        <v>352</v>
      </c>
      <c r="AP6" s="26" t="s">
        <v>353</v>
      </c>
      <c r="AQ6" s="26" t="s">
        <v>354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</row>
    <row r="7" ht="19.55" customHeight="1" spans="1:61">
      <c r="A7" s="31" t="s">
        <v>241</v>
      </c>
      <c r="B7" s="31" t="s">
        <v>241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29</v>
      </c>
      <c r="AG7" s="31">
        <v>30</v>
      </c>
      <c r="AH7" s="31">
        <v>31</v>
      </c>
      <c r="AI7" s="31">
        <v>32</v>
      </c>
      <c r="AJ7" s="31">
        <v>33</v>
      </c>
      <c r="AK7" s="31">
        <v>34</v>
      </c>
      <c r="AL7" s="31">
        <v>35</v>
      </c>
      <c r="AM7" s="31">
        <v>36</v>
      </c>
      <c r="AN7" s="31">
        <v>37</v>
      </c>
      <c r="AO7" s="31">
        <v>38</v>
      </c>
      <c r="AP7" s="31">
        <v>39</v>
      </c>
      <c r="AQ7" s="31">
        <v>40</v>
      </c>
      <c r="AR7" s="31">
        <v>41</v>
      </c>
      <c r="AS7" s="31">
        <v>42</v>
      </c>
      <c r="AT7" s="31">
        <v>43</v>
      </c>
      <c r="AU7" s="31">
        <v>44</v>
      </c>
      <c r="AV7" s="31">
        <v>45</v>
      </c>
      <c r="AW7" s="31">
        <v>46</v>
      </c>
      <c r="AX7" s="31">
        <v>47</v>
      </c>
      <c r="AY7" s="31">
        <v>48</v>
      </c>
      <c r="AZ7" s="31">
        <v>49</v>
      </c>
      <c r="BA7" s="31">
        <v>50</v>
      </c>
      <c r="BB7" s="31">
        <v>51</v>
      </c>
      <c r="BC7" s="31">
        <v>52</v>
      </c>
      <c r="BD7" s="31">
        <v>53</v>
      </c>
      <c r="BE7" s="31">
        <v>54</v>
      </c>
      <c r="BF7" s="31">
        <v>55</v>
      </c>
      <c r="BG7" s="31">
        <v>56</v>
      </c>
      <c r="BH7" s="31">
        <v>57</v>
      </c>
      <c r="BI7" s="31">
        <v>58</v>
      </c>
    </row>
    <row r="8" ht="19.55" customHeight="1" spans="1:61">
      <c r="A8" s="26" t="s">
        <v>355</v>
      </c>
      <c r="B8" s="27"/>
      <c r="C8" s="32">
        <f>C11</f>
        <v>1463.7106</v>
      </c>
      <c r="D8" s="32">
        <f>D11</f>
        <v>1431.7708</v>
      </c>
      <c r="E8" s="32">
        <f>E11</f>
        <v>1029.8856</v>
      </c>
      <c r="F8" s="32">
        <f>F11</f>
        <v>656.3164</v>
      </c>
      <c r="G8" s="32">
        <f>G11</f>
        <v>0</v>
      </c>
      <c r="H8" s="32"/>
      <c r="I8" s="32">
        <f>I11</f>
        <v>0</v>
      </c>
      <c r="J8" s="32">
        <f>J11</f>
        <v>373.5692</v>
      </c>
      <c r="K8" s="32">
        <f>K11</f>
        <v>276.9147</v>
      </c>
      <c r="L8" s="32">
        <f>L11</f>
        <v>166.6464</v>
      </c>
      <c r="M8" s="32"/>
      <c r="N8" s="32">
        <f>N11</f>
        <v>110.2683</v>
      </c>
      <c r="O8" s="32"/>
      <c r="P8" s="32"/>
      <c r="Q8" s="32"/>
      <c r="R8" s="32">
        <f>R11</f>
        <v>124.9705</v>
      </c>
      <c r="S8" s="32">
        <f>S11</f>
        <v>0</v>
      </c>
      <c r="T8" s="32">
        <f>T11</f>
        <v>31.9398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2">
        <f>AR11</f>
        <v>12.3365</v>
      </c>
      <c r="AS8" s="32">
        <f>AS11</f>
        <v>19.6033</v>
      </c>
      <c r="AT8" s="32"/>
      <c r="AU8" s="32"/>
      <c r="AV8" s="32"/>
      <c r="AW8" s="32">
        <f>AW11</f>
        <v>0</v>
      </c>
      <c r="AX8" s="32">
        <f>AX11</f>
        <v>0</v>
      </c>
      <c r="AY8" s="32"/>
      <c r="AZ8" s="32"/>
      <c r="BA8" s="32"/>
      <c r="BB8" s="32"/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f>BI11</f>
        <v>0</v>
      </c>
    </row>
    <row r="9" ht="19.55" customHeight="1" spans="1:61">
      <c r="A9" s="29" t="s">
        <v>165</v>
      </c>
      <c r="B9" s="29" t="s">
        <v>226</v>
      </c>
      <c r="C9" s="32">
        <f>C11</f>
        <v>1463.7106</v>
      </c>
      <c r="D9" s="32">
        <f>D11</f>
        <v>1431.7708</v>
      </c>
      <c r="E9" s="32">
        <f>E11</f>
        <v>1029.8856</v>
      </c>
      <c r="F9" s="32">
        <f>F11</f>
        <v>656.3164</v>
      </c>
      <c r="G9" s="32">
        <f>G12</f>
        <v>0</v>
      </c>
      <c r="H9" s="32"/>
      <c r="I9" s="32">
        <f>I11</f>
        <v>0</v>
      </c>
      <c r="J9" s="32">
        <f>J11</f>
        <v>373.5692</v>
      </c>
      <c r="K9" s="32">
        <f>K11</f>
        <v>276.9147</v>
      </c>
      <c r="L9" s="32">
        <f>L11</f>
        <v>166.6464</v>
      </c>
      <c r="M9" s="32"/>
      <c r="N9" s="32">
        <f>N11</f>
        <v>110.2683</v>
      </c>
      <c r="O9" s="32"/>
      <c r="P9" s="32"/>
      <c r="Q9" s="32"/>
      <c r="R9" s="32">
        <f>R11</f>
        <v>124.9705</v>
      </c>
      <c r="S9" s="32">
        <f>S11</f>
        <v>0</v>
      </c>
      <c r="T9" s="32">
        <f>T11</f>
        <v>31.9398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2">
        <f>AR11</f>
        <v>12.3365</v>
      </c>
      <c r="AS9" s="32">
        <f>AS11</f>
        <v>19.6033</v>
      </c>
      <c r="AT9" s="32"/>
      <c r="AU9" s="32"/>
      <c r="AV9" s="32"/>
      <c r="AW9" s="32">
        <f>AW11</f>
        <v>0</v>
      </c>
      <c r="AX9" s="32">
        <f>AX11</f>
        <v>0</v>
      </c>
      <c r="AY9" s="32"/>
      <c r="AZ9" s="32"/>
      <c r="BA9" s="32"/>
      <c r="BB9" s="32"/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f>BI11</f>
        <v>0</v>
      </c>
    </row>
    <row r="10" ht="19.55" customHeight="1" spans="1:61">
      <c r="A10" s="30" t="s">
        <v>356</v>
      </c>
      <c r="B10" s="30" t="s">
        <v>357</v>
      </c>
      <c r="C10" s="32">
        <f>C11</f>
        <v>1463.7106</v>
      </c>
      <c r="D10" s="32">
        <f>D11</f>
        <v>1431.7708</v>
      </c>
      <c r="E10" s="32">
        <f>E11</f>
        <v>1029.8856</v>
      </c>
      <c r="F10" s="32">
        <f>F11</f>
        <v>656.3164</v>
      </c>
      <c r="G10" s="32">
        <f>G11</f>
        <v>0</v>
      </c>
      <c r="H10" s="32">
        <v>0</v>
      </c>
      <c r="I10" s="32">
        <f>I11</f>
        <v>0</v>
      </c>
      <c r="J10" s="32">
        <f>J11</f>
        <v>373.5692</v>
      </c>
      <c r="K10" s="32">
        <f>K11</f>
        <v>276.9147</v>
      </c>
      <c r="L10" s="32">
        <f>L11</f>
        <v>166.6464</v>
      </c>
      <c r="M10" s="32">
        <v>0</v>
      </c>
      <c r="N10" s="32">
        <f>N11</f>
        <v>110.2683</v>
      </c>
      <c r="O10" s="32">
        <v>0</v>
      </c>
      <c r="P10" s="32">
        <v>0</v>
      </c>
      <c r="Q10" s="32">
        <v>0</v>
      </c>
      <c r="R10" s="32">
        <f>R11</f>
        <v>124.9705</v>
      </c>
      <c r="S10" s="32">
        <f>S11</f>
        <v>0</v>
      </c>
      <c r="T10" s="32">
        <f>T11</f>
        <v>31.9398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2">
        <f>AR11</f>
        <v>12.3365</v>
      </c>
      <c r="AS10" s="32">
        <f>AS11</f>
        <v>19.6033</v>
      </c>
      <c r="AT10" s="32"/>
      <c r="AU10" s="32"/>
      <c r="AV10" s="32"/>
      <c r="AW10" s="32">
        <f>AW11</f>
        <v>0</v>
      </c>
      <c r="AX10" s="32">
        <f>AX11</f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f>BI11</f>
        <v>0</v>
      </c>
    </row>
    <row r="11" ht="19.55" customHeight="1" spans="1:61">
      <c r="A11" s="30" t="s">
        <v>173</v>
      </c>
      <c r="B11" s="30" t="s">
        <v>174</v>
      </c>
      <c r="C11" s="33">
        <f>'8一般公共预算基本支出表（纵向）'!C6</f>
        <v>1463.7106</v>
      </c>
      <c r="D11" s="33">
        <f>E11+K11+R11+S11</f>
        <v>1431.7708</v>
      </c>
      <c r="E11" s="33">
        <f>F11+G11+I11+J11</f>
        <v>1029.8856</v>
      </c>
      <c r="F11" s="33">
        <f>'8一般公共预算基本支出表（纵向）'!D8</f>
        <v>656.3164</v>
      </c>
      <c r="G11" s="33">
        <f>'8一般公共预算基本支出表（纵向）'!D9</f>
        <v>0</v>
      </c>
      <c r="H11" s="33"/>
      <c r="I11" s="33">
        <f>'8一般公共预算基本支出表（纵向）'!D10</f>
        <v>0</v>
      </c>
      <c r="J11" s="33">
        <f>'8一般公共预算基本支出表（纵向）'!D11</f>
        <v>373.5692</v>
      </c>
      <c r="K11" s="33">
        <f>L11+N11</f>
        <v>276.9147</v>
      </c>
      <c r="L11" s="33">
        <f>'8一般公共预算基本支出表（纵向）'!D12</f>
        <v>166.6464</v>
      </c>
      <c r="M11" s="33"/>
      <c r="N11" s="33">
        <f>'8一般公共预算基本支出表（纵向）'!D13</f>
        <v>110.2683</v>
      </c>
      <c r="O11" s="33"/>
      <c r="P11" s="33"/>
      <c r="Q11" s="33"/>
      <c r="R11" s="33">
        <f>'8一般公共预算基本支出表（纵向）'!D14</f>
        <v>124.9705</v>
      </c>
      <c r="S11" s="33">
        <f>'8一般公共预算基本支出表（纵向）'!D15</f>
        <v>0</v>
      </c>
      <c r="T11" s="33">
        <f>'8一般公共预算基本支出表（纵向）'!C16</f>
        <v>31.9398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>
        <f>'8一般公共预算基本支出表（纵向）'!E28</f>
        <v>12.3365</v>
      </c>
      <c r="AS11" s="33">
        <f>'8一般公共预算基本支出表（纵向）'!E29</f>
        <v>19.6033</v>
      </c>
      <c r="AT11" s="33"/>
      <c r="AU11" s="33"/>
      <c r="AV11" s="33"/>
      <c r="AW11" s="33">
        <f>'8一般公共预算基本支出表（纵向）'!D31</f>
        <v>0</v>
      </c>
      <c r="AX11" s="33">
        <f>'8一般公共预算基本支出表（纵向）'!D32</f>
        <v>0</v>
      </c>
      <c r="AY11" s="33"/>
      <c r="AZ11" s="33"/>
      <c r="BA11" s="33"/>
      <c r="BB11" s="33"/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f>'8一般公共预算基本支出表（纵向）'!D33</f>
        <v>0</v>
      </c>
    </row>
  </sheetData>
  <mergeCells count="45"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U4:AQ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4333333333333" customWidth="1"/>
    <col min="4" max="4" width="12.4833333333333" customWidth="1"/>
    <col min="5" max="6" width="10.2583333333333" customWidth="1"/>
    <col min="7" max="7" width="9.09166666666667" customWidth="1"/>
    <col min="8" max="8" width="10.2583333333333" customWidth="1"/>
    <col min="9" max="9" width="12.4833333333333" customWidth="1"/>
    <col min="10" max="10" width="9.63333333333333" customWidth="1"/>
    <col min="11" max="11" width="9.90833333333333" customWidth="1"/>
  </cols>
  <sheetData>
    <row r="1" ht="16.35" customHeight="1" spans="1:11">
      <c r="A1" s="1"/>
      <c r="J1" s="16" t="s">
        <v>358</v>
      </c>
      <c r="K1" s="16"/>
    </row>
    <row r="2" ht="44.85" customHeight="1" spans="1:1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2.4" customHeight="1" spans="1:11">
      <c r="A3" s="11" t="str">
        <f>'8一般公共预算基本支出表（纵向）'!A2</f>
        <v>部门：127045_益阳市赫山区世通学校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42.25" customHeight="1" spans="1:11">
      <c r="A4" s="4" t="s">
        <v>155</v>
      </c>
      <c r="B4" s="4" t="s">
        <v>156</v>
      </c>
      <c r="C4" s="4" t="s">
        <v>202</v>
      </c>
      <c r="D4" s="4" t="s">
        <v>187</v>
      </c>
      <c r="E4" s="4"/>
      <c r="F4" s="4"/>
      <c r="G4" s="4"/>
      <c r="H4" s="4"/>
      <c r="I4" s="4" t="s">
        <v>191</v>
      </c>
      <c r="J4" s="4"/>
      <c r="K4" s="4"/>
    </row>
    <row r="5" ht="39.65" customHeight="1" spans="1:11">
      <c r="A5" s="4"/>
      <c r="B5" s="4"/>
      <c r="C5" s="4"/>
      <c r="D5" s="4" t="s">
        <v>135</v>
      </c>
      <c r="E5" s="4" t="s">
        <v>359</v>
      </c>
      <c r="F5" s="4" t="s">
        <v>360</v>
      </c>
      <c r="G5" s="4" t="s">
        <v>299</v>
      </c>
      <c r="H5" s="4" t="s">
        <v>300</v>
      </c>
      <c r="I5" s="4" t="s">
        <v>135</v>
      </c>
      <c r="J5" s="4" t="s">
        <v>203</v>
      </c>
      <c r="K5" s="4" t="s">
        <v>361</v>
      </c>
    </row>
    <row r="6" ht="19.55" customHeight="1" spans="1:11">
      <c r="A6" s="26" t="s">
        <v>355</v>
      </c>
      <c r="B6" s="27"/>
      <c r="C6" s="28">
        <f t="shared" ref="C6:H6" si="0">C9</f>
        <v>1463.7106</v>
      </c>
      <c r="D6" s="28">
        <f t="shared" si="0"/>
        <v>1431.7708</v>
      </c>
      <c r="E6" s="28">
        <f t="shared" si="0"/>
        <v>1029.8856</v>
      </c>
      <c r="F6" s="28">
        <f t="shared" si="0"/>
        <v>276.9147</v>
      </c>
      <c r="G6" s="28">
        <f t="shared" si="0"/>
        <v>124.9705</v>
      </c>
      <c r="H6" s="28">
        <f t="shared" si="0"/>
        <v>0</v>
      </c>
      <c r="I6" s="28"/>
      <c r="J6" s="28"/>
      <c r="K6" s="28"/>
    </row>
    <row r="7" ht="19.55" customHeight="1" spans="1:11">
      <c r="A7" s="29" t="s">
        <v>165</v>
      </c>
      <c r="B7" s="29" t="s">
        <v>226</v>
      </c>
      <c r="C7" s="28">
        <f t="shared" ref="C7:H7" si="1">C9</f>
        <v>1463.7106</v>
      </c>
      <c r="D7" s="28">
        <f t="shared" si="1"/>
        <v>1431.7708</v>
      </c>
      <c r="E7" s="28">
        <f t="shared" si="1"/>
        <v>1029.8856</v>
      </c>
      <c r="F7" s="28">
        <f t="shared" si="1"/>
        <v>276.9147</v>
      </c>
      <c r="G7" s="28">
        <f t="shared" si="1"/>
        <v>124.9705</v>
      </c>
      <c r="H7" s="28">
        <f t="shared" si="1"/>
        <v>0</v>
      </c>
      <c r="I7" s="28"/>
      <c r="J7" s="28"/>
      <c r="K7" s="28"/>
    </row>
    <row r="8" ht="19.55" customHeight="1" spans="1:11">
      <c r="A8" s="30" t="s">
        <v>356</v>
      </c>
      <c r="B8" s="30" t="s">
        <v>357</v>
      </c>
      <c r="C8" s="28">
        <f t="shared" ref="C8:H8" si="2">C9</f>
        <v>1463.7106</v>
      </c>
      <c r="D8" s="28">
        <f t="shared" si="2"/>
        <v>1431.7708</v>
      </c>
      <c r="E8" s="28">
        <f t="shared" si="2"/>
        <v>1029.8856</v>
      </c>
      <c r="F8" s="28">
        <f t="shared" si="2"/>
        <v>276.9147</v>
      </c>
      <c r="G8" s="28">
        <f t="shared" si="2"/>
        <v>124.9705</v>
      </c>
      <c r="H8" s="28">
        <f t="shared" si="2"/>
        <v>0</v>
      </c>
      <c r="I8" s="28"/>
      <c r="J8" s="28"/>
      <c r="K8" s="28"/>
    </row>
    <row r="9" ht="19.55" customHeight="1" spans="1:11">
      <c r="A9" s="30" t="s">
        <v>173</v>
      </c>
      <c r="B9" s="30" t="s">
        <v>174</v>
      </c>
      <c r="C9" s="6">
        <f>'9一般公共预算基本支出表（横向）'!C11</f>
        <v>1463.7106</v>
      </c>
      <c r="D9" s="6">
        <f>E9+F9+G9+H9</f>
        <v>1431.7708</v>
      </c>
      <c r="E9" s="21">
        <f>'9一般公共预算基本支出表（横向）'!E11</f>
        <v>1029.8856</v>
      </c>
      <c r="F9" s="21">
        <f>'9一般公共预算基本支出表（横向）'!K11</f>
        <v>276.9147</v>
      </c>
      <c r="G9" s="21">
        <f>'9一般公共预算基本支出表（横向）'!R11</f>
        <v>124.9705</v>
      </c>
      <c r="H9" s="21">
        <f>'9一般公共预算基本支出表（横向）'!S11</f>
        <v>0</v>
      </c>
      <c r="I9" s="6"/>
      <c r="J9" s="21"/>
      <c r="K9" s="21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975" customWidth="1"/>
    <col min="4" max="19" width="7.69166666666667" customWidth="1"/>
  </cols>
  <sheetData>
    <row r="1" ht="16.35" customHeight="1" spans="18:19">
      <c r="R1" s="16" t="s">
        <v>362</v>
      </c>
      <c r="S1" s="16"/>
    </row>
    <row r="2" ht="50" customHeight="1" spans="1:19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11" t="str">
        <f>'10工资福利(政府预算)'!A3</f>
        <v>部门：127045_益阳市赫山区世通学校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 t="s">
        <v>31</v>
      </c>
      <c r="S3" s="9"/>
    </row>
    <row r="4" ht="26.7" customHeight="1" spans="1:19">
      <c r="A4" s="4" t="s">
        <v>155</v>
      </c>
      <c r="B4" s="4" t="s">
        <v>156</v>
      </c>
      <c r="C4" s="4" t="s">
        <v>202</v>
      </c>
      <c r="D4" s="4" t="s">
        <v>363</v>
      </c>
      <c r="E4" s="4"/>
      <c r="F4" s="4"/>
      <c r="G4" s="4"/>
      <c r="H4" s="4"/>
      <c r="I4" s="4" t="s">
        <v>364</v>
      </c>
      <c r="J4" s="4"/>
      <c r="K4" s="4"/>
      <c r="L4" s="4"/>
      <c r="M4" s="4"/>
      <c r="N4" s="4"/>
      <c r="O4" s="4" t="s">
        <v>299</v>
      </c>
      <c r="P4" s="4" t="s">
        <v>365</v>
      </c>
      <c r="Q4" s="4"/>
      <c r="R4" s="4"/>
      <c r="S4" s="4"/>
    </row>
    <row r="5" ht="56.05" customHeight="1" spans="1:19">
      <c r="A5" s="4"/>
      <c r="B5" s="4"/>
      <c r="C5" s="4"/>
      <c r="D5" s="4" t="s">
        <v>135</v>
      </c>
      <c r="E5" s="4" t="s">
        <v>322</v>
      </c>
      <c r="F5" s="4" t="s">
        <v>323</v>
      </c>
      <c r="G5" s="4" t="s">
        <v>325</v>
      </c>
      <c r="H5" s="4" t="s">
        <v>326</v>
      </c>
      <c r="I5" s="4" t="s">
        <v>135</v>
      </c>
      <c r="J5" s="4" t="s">
        <v>327</v>
      </c>
      <c r="K5" s="4" t="s">
        <v>328</v>
      </c>
      <c r="L5" s="4" t="s">
        <v>329</v>
      </c>
      <c r="M5" s="4" t="s">
        <v>330</v>
      </c>
      <c r="N5" s="4" t="s">
        <v>332</v>
      </c>
      <c r="O5" s="4"/>
      <c r="P5" s="4" t="s">
        <v>135</v>
      </c>
      <c r="Q5" s="4" t="s">
        <v>324</v>
      </c>
      <c r="R5" s="4" t="s">
        <v>331</v>
      </c>
      <c r="S5" s="4" t="s">
        <v>300</v>
      </c>
    </row>
    <row r="6" ht="19.55" customHeight="1" spans="1:19">
      <c r="A6" s="26" t="s">
        <v>355</v>
      </c>
      <c r="B6" s="27"/>
      <c r="C6" s="13">
        <f t="shared" ref="C6:J6" si="0">C9</f>
        <v>1431.7708</v>
      </c>
      <c r="D6" s="13">
        <f t="shared" si="0"/>
        <v>1029.8856</v>
      </c>
      <c r="E6" s="13">
        <f t="shared" si="0"/>
        <v>656.3164</v>
      </c>
      <c r="F6" s="13">
        <f t="shared" si="0"/>
        <v>0</v>
      </c>
      <c r="G6" s="13">
        <f t="shared" si="0"/>
        <v>0</v>
      </c>
      <c r="H6" s="13">
        <f t="shared" si="0"/>
        <v>373.5692</v>
      </c>
      <c r="I6" s="13">
        <f t="shared" si="0"/>
        <v>276.9147</v>
      </c>
      <c r="J6" s="13">
        <f t="shared" si="0"/>
        <v>166.6464</v>
      </c>
      <c r="K6" s="13"/>
      <c r="L6" s="13">
        <f>L9</f>
        <v>110.2683</v>
      </c>
      <c r="M6" s="13"/>
      <c r="N6" s="13"/>
      <c r="O6" s="13">
        <f>O9</f>
        <v>124.9705</v>
      </c>
      <c r="P6" s="13">
        <f>P9</f>
        <v>0</v>
      </c>
      <c r="Q6" s="13"/>
      <c r="R6" s="13"/>
      <c r="S6" s="13">
        <f>S9</f>
        <v>0</v>
      </c>
    </row>
    <row r="7" ht="19.55" customHeight="1" spans="1:19">
      <c r="A7" s="29" t="s">
        <v>165</v>
      </c>
      <c r="B7" s="29" t="s">
        <v>226</v>
      </c>
      <c r="C7" s="13">
        <f t="shared" ref="C7:J7" si="1">C9</f>
        <v>1431.7708</v>
      </c>
      <c r="D7" s="13">
        <f t="shared" si="1"/>
        <v>1029.8856</v>
      </c>
      <c r="E7" s="13">
        <f t="shared" si="1"/>
        <v>656.3164</v>
      </c>
      <c r="F7" s="13">
        <f t="shared" si="1"/>
        <v>0</v>
      </c>
      <c r="G7" s="13">
        <f t="shared" si="1"/>
        <v>0</v>
      </c>
      <c r="H7" s="13">
        <f t="shared" si="1"/>
        <v>373.5692</v>
      </c>
      <c r="I7" s="13">
        <f t="shared" si="1"/>
        <v>276.9147</v>
      </c>
      <c r="J7" s="13">
        <f t="shared" si="1"/>
        <v>166.6464</v>
      </c>
      <c r="K7" s="13"/>
      <c r="L7" s="13">
        <f>L9</f>
        <v>110.2683</v>
      </c>
      <c r="M7" s="13"/>
      <c r="N7" s="13"/>
      <c r="O7" s="13">
        <f>O9</f>
        <v>124.9705</v>
      </c>
      <c r="P7" s="13">
        <f>P9</f>
        <v>0</v>
      </c>
      <c r="Q7" s="13"/>
      <c r="R7" s="13"/>
      <c r="S7" s="13">
        <f>S9</f>
        <v>0</v>
      </c>
    </row>
    <row r="8" ht="19.55" customHeight="1" spans="1:19">
      <c r="A8" s="30" t="s">
        <v>356</v>
      </c>
      <c r="B8" s="30" t="s">
        <v>357</v>
      </c>
      <c r="C8" s="13">
        <f t="shared" ref="C8:J8" si="2">C9</f>
        <v>1431.7708</v>
      </c>
      <c r="D8" s="13">
        <f t="shared" si="2"/>
        <v>1029.8856</v>
      </c>
      <c r="E8" s="13">
        <f t="shared" si="2"/>
        <v>656.3164</v>
      </c>
      <c r="F8" s="13">
        <f t="shared" si="2"/>
        <v>0</v>
      </c>
      <c r="G8" s="13">
        <f t="shared" si="2"/>
        <v>0</v>
      </c>
      <c r="H8" s="13">
        <f t="shared" si="2"/>
        <v>373.5692</v>
      </c>
      <c r="I8" s="13">
        <f t="shared" si="2"/>
        <v>276.9147</v>
      </c>
      <c r="J8" s="13">
        <f t="shared" si="2"/>
        <v>166.6464</v>
      </c>
      <c r="K8" s="13"/>
      <c r="L8" s="13">
        <f>L9</f>
        <v>110.2683</v>
      </c>
      <c r="M8" s="13"/>
      <c r="N8" s="13"/>
      <c r="O8" s="13">
        <f>O9</f>
        <v>124.9705</v>
      </c>
      <c r="P8" s="13">
        <f>P9</f>
        <v>0</v>
      </c>
      <c r="Q8" s="13"/>
      <c r="R8" s="13"/>
      <c r="S8" s="13">
        <f>S9</f>
        <v>0</v>
      </c>
    </row>
    <row r="9" ht="19.55" customHeight="1" spans="1:19">
      <c r="A9" s="30" t="s">
        <v>173</v>
      </c>
      <c r="B9" s="30" t="s">
        <v>174</v>
      </c>
      <c r="C9" s="6">
        <f>D9+I9+O9+P9</f>
        <v>1431.7708</v>
      </c>
      <c r="D9" s="21">
        <f>E9+H9+F9+G9</f>
        <v>1029.8856</v>
      </c>
      <c r="E9" s="21">
        <f>'8一般公共预算基本支出表（纵向）'!D8</f>
        <v>656.3164</v>
      </c>
      <c r="F9" s="21">
        <f>'8一般公共预算基本支出表（纵向）'!D9</f>
        <v>0</v>
      </c>
      <c r="G9" s="21">
        <f>'8一般公共预算基本支出表（纵向）'!D10</f>
        <v>0</v>
      </c>
      <c r="H9" s="21">
        <f>'8一般公共预算基本支出表（纵向）'!D11</f>
        <v>373.5692</v>
      </c>
      <c r="I9" s="6">
        <f>J9+L9</f>
        <v>276.9147</v>
      </c>
      <c r="J9" s="21">
        <f>'9一般公共预算基本支出表（横向）'!L11</f>
        <v>166.6464</v>
      </c>
      <c r="K9" s="21"/>
      <c r="L9" s="21">
        <f>'9一般公共预算基本支出表（横向）'!N11</f>
        <v>110.2683</v>
      </c>
      <c r="M9" s="21"/>
      <c r="N9" s="21"/>
      <c r="O9" s="21">
        <f>'9一般公共预算基本支出表（横向）'!R11</f>
        <v>124.9705</v>
      </c>
      <c r="P9" s="6">
        <f>S9</f>
        <v>0</v>
      </c>
      <c r="Q9" s="21"/>
      <c r="R9" s="21"/>
      <c r="S9" s="21">
        <f>'9一般公共预算基本支出表（横向）'!S11</f>
        <v>0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:A5"/>
    </sheetView>
  </sheetViews>
  <sheetFormatPr defaultColWidth="10" defaultRowHeight="13.5" outlineLevelCol="7"/>
  <cols>
    <col min="1" max="1" width="19.5416666666667" customWidth="1"/>
    <col min="2" max="2" width="41.525" customWidth="1"/>
    <col min="3" max="3" width="16.4166666666667" customWidth="1"/>
    <col min="4" max="4" width="13.4333333333333" customWidth="1"/>
    <col min="5" max="5" width="11.125" customWidth="1"/>
    <col min="6" max="6" width="12.075" customWidth="1"/>
    <col min="7" max="7" width="11.9416666666667" customWidth="1"/>
    <col min="8" max="8" width="11.5333333333333" customWidth="1"/>
  </cols>
  <sheetData>
    <row r="1" ht="16.35" customHeight="1" spans="8:8">
      <c r="H1" s="16" t="s">
        <v>366</v>
      </c>
    </row>
    <row r="2" ht="46.55" customHeight="1" spans="1:8">
      <c r="A2" s="17" t="s">
        <v>17</v>
      </c>
      <c r="B2" s="17"/>
      <c r="C2" s="17"/>
      <c r="D2" s="17"/>
      <c r="E2" s="17"/>
      <c r="F2" s="17"/>
      <c r="G2" s="17"/>
      <c r="H2" s="17"/>
    </row>
    <row r="3" ht="18.1" customHeight="1" spans="1:8">
      <c r="A3" s="11" t="str">
        <f>'11工资福利'!A3</f>
        <v>部门：127045_益阳市赫山区世通学校</v>
      </c>
      <c r="B3" s="11"/>
      <c r="C3" s="11"/>
      <c r="D3" s="11"/>
      <c r="E3" s="11"/>
      <c r="F3" s="11"/>
      <c r="G3" s="9" t="s">
        <v>31</v>
      </c>
      <c r="H3" s="9"/>
    </row>
    <row r="4" ht="23.25" customHeight="1" spans="1:8">
      <c r="A4" s="4" t="s">
        <v>155</v>
      </c>
      <c r="B4" s="4" t="s">
        <v>156</v>
      </c>
      <c r="C4" s="4" t="s">
        <v>293</v>
      </c>
      <c r="D4" s="4" t="s">
        <v>367</v>
      </c>
      <c r="E4" s="4" t="s">
        <v>316</v>
      </c>
      <c r="F4" s="4" t="s">
        <v>318</v>
      </c>
      <c r="G4" s="4" t="s">
        <v>368</v>
      </c>
      <c r="H4" s="4" t="s">
        <v>320</v>
      </c>
    </row>
    <row r="5" ht="23.25" customHeight="1" spans="1:8">
      <c r="A5" s="4"/>
      <c r="B5" s="4"/>
      <c r="C5" s="4"/>
      <c r="D5" s="4"/>
      <c r="E5" s="4"/>
      <c r="F5" s="4"/>
      <c r="G5" s="4"/>
      <c r="H5" s="4"/>
    </row>
    <row r="6" ht="19.55" customHeight="1" spans="1:8">
      <c r="A6" s="26" t="s">
        <v>355</v>
      </c>
      <c r="B6" s="27"/>
      <c r="C6" s="13">
        <f>C9</f>
        <v>0</v>
      </c>
      <c r="D6" s="13"/>
      <c r="E6" s="13"/>
      <c r="F6" s="13"/>
      <c r="G6" s="13">
        <f>G9</f>
        <v>0</v>
      </c>
      <c r="H6" s="13">
        <f>H9</f>
        <v>0</v>
      </c>
    </row>
    <row r="7" ht="19.55" customHeight="1" spans="1:8">
      <c r="A7" s="29" t="s">
        <v>165</v>
      </c>
      <c r="B7" s="29" t="s">
        <v>226</v>
      </c>
      <c r="C7" s="13">
        <f>C9</f>
        <v>0</v>
      </c>
      <c r="D7" s="13"/>
      <c r="E7" s="13"/>
      <c r="F7" s="13"/>
      <c r="G7" s="13">
        <f>G9</f>
        <v>0</v>
      </c>
      <c r="H7" s="13">
        <f>H9</f>
        <v>0</v>
      </c>
    </row>
    <row r="8" ht="19.55" customHeight="1" spans="1:8">
      <c r="A8" s="30" t="s">
        <v>356</v>
      </c>
      <c r="B8" s="30" t="s">
        <v>357</v>
      </c>
      <c r="C8" s="13">
        <f>C9</f>
        <v>0</v>
      </c>
      <c r="D8" s="13"/>
      <c r="E8" s="13"/>
      <c r="F8" s="13"/>
      <c r="G8" s="13">
        <f>G9</f>
        <v>0</v>
      </c>
      <c r="H8" s="13">
        <f>H9</f>
        <v>0</v>
      </c>
    </row>
    <row r="9" ht="19.55" customHeight="1" spans="1:8">
      <c r="A9" s="30" t="s">
        <v>173</v>
      </c>
      <c r="B9" s="30" t="s">
        <v>174</v>
      </c>
      <c r="C9" s="6">
        <f>'8一般公共预算基本支出表（纵向）'!D31</f>
        <v>0</v>
      </c>
      <c r="D9" s="21"/>
      <c r="E9" s="21"/>
      <c r="F9" s="21"/>
      <c r="G9" s="21">
        <f>'8一般公共预算基本支出表（纵向）'!D32</f>
        <v>0</v>
      </c>
      <c r="H9" s="21">
        <f>'8一般公共预算基本支出表（纵向）'!D33</f>
        <v>0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15" width="7.69166666666667" customWidth="1"/>
  </cols>
  <sheetData>
    <row r="1" ht="16.35" customHeight="1" spans="14:15">
      <c r="N1" s="16" t="s">
        <v>369</v>
      </c>
      <c r="O1" s="16"/>
    </row>
    <row r="2" ht="40.5" customHeight="1" spans="1:1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11" t="str">
        <f>'12个人家庭(政府预算)'!A3</f>
        <v>部门：127045_益阳市赫山区世通学校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 t="s">
        <v>31</v>
      </c>
      <c r="O3" s="9"/>
    </row>
    <row r="4" ht="24.15" customHeight="1" spans="1:15">
      <c r="A4" s="4" t="s">
        <v>155</v>
      </c>
      <c r="B4" s="4" t="s">
        <v>156</v>
      </c>
      <c r="C4" s="4" t="s">
        <v>293</v>
      </c>
      <c r="D4" s="4" t="s">
        <v>309</v>
      </c>
      <c r="E4" s="4" t="s">
        <v>310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319</v>
      </c>
      <c r="N4" s="4" t="s">
        <v>318</v>
      </c>
      <c r="O4" s="4" t="s">
        <v>320</v>
      </c>
    </row>
    <row r="5" ht="21.55" customHeight="1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9.55" customHeight="1" spans="1:15">
      <c r="A6" s="26" t="s">
        <v>355</v>
      </c>
      <c r="B6" s="27"/>
      <c r="C6" s="6">
        <f>D6+O6</f>
        <v>0</v>
      </c>
      <c r="D6" s="21">
        <f>D9</f>
        <v>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f>O9</f>
        <v>0</v>
      </c>
    </row>
    <row r="7" ht="19.55" customHeight="1" spans="1:15">
      <c r="A7" s="29" t="s">
        <v>165</v>
      </c>
      <c r="B7" s="29" t="s">
        <v>226</v>
      </c>
      <c r="C7" s="6">
        <f>D7+O7</f>
        <v>0</v>
      </c>
      <c r="D7" s="21">
        <f>D8</f>
        <v>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>
        <f>O9</f>
        <v>0</v>
      </c>
    </row>
    <row r="8" ht="19.55" customHeight="1" spans="1:15">
      <c r="A8" s="30" t="s">
        <v>356</v>
      </c>
      <c r="B8" s="30" t="s">
        <v>357</v>
      </c>
      <c r="C8" s="6">
        <f>D8+O8</f>
        <v>0</v>
      </c>
      <c r="D8" s="21">
        <f>D9</f>
        <v>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>O9</f>
        <v>0</v>
      </c>
    </row>
    <row r="9" ht="19.55" customHeight="1" spans="1:15">
      <c r="A9" s="30" t="s">
        <v>173</v>
      </c>
      <c r="B9" s="30" t="s">
        <v>174</v>
      </c>
      <c r="C9" s="6">
        <f>D9+O9</f>
        <v>0</v>
      </c>
      <c r="D9" s="21">
        <f>'12个人家庭(政府预算)'!G9</f>
        <v>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>'12个人家庭(政府预算)'!H9</f>
        <v>0</v>
      </c>
    </row>
  </sheetData>
  <mergeCells count="19"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C6" sqref="C6:N6"/>
    </sheetView>
  </sheetViews>
  <sheetFormatPr defaultColWidth="10" defaultRowHeight="13.5"/>
  <cols>
    <col min="1" max="1" width="19.5416666666667" customWidth="1"/>
    <col min="2" max="2" width="41.525" customWidth="1"/>
    <col min="3" max="3" width="9.63333333333333" customWidth="1"/>
    <col min="4" max="4" width="8.41666666666667" customWidth="1"/>
    <col min="5" max="5" width="7.775" customWidth="1"/>
    <col min="6" max="14" width="7.18333333333333" customWidth="1"/>
    <col min="15" max="15" width="8.55" customWidth="1"/>
    <col min="16" max="17" width="7.18333333333333" customWidth="1"/>
  </cols>
  <sheetData>
    <row r="1" ht="16.35" customHeight="1" spans="16:17">
      <c r="P1" s="16" t="s">
        <v>370</v>
      </c>
      <c r="Q1" s="16"/>
    </row>
    <row r="2" ht="36.2" customHeight="1" spans="1:17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17">
      <c r="A3" s="11" t="str">
        <f>'13个人家庭'!A3</f>
        <v>部门：127045_益阳市赫山区世通学校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9" t="s">
        <v>31</v>
      </c>
      <c r="Q3" s="9"/>
    </row>
    <row r="4" ht="28.45" customHeight="1" spans="1:17">
      <c r="A4" s="4" t="s">
        <v>155</v>
      </c>
      <c r="B4" s="4" t="s">
        <v>156</v>
      </c>
      <c r="C4" s="4" t="s">
        <v>293</v>
      </c>
      <c r="D4" s="4" t="s">
        <v>188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191</v>
      </c>
      <c r="P4" s="4"/>
      <c r="Q4" s="4"/>
    </row>
    <row r="5" ht="36.2" customHeight="1" spans="1:17">
      <c r="A5" s="4"/>
      <c r="B5" s="4"/>
      <c r="C5" s="4"/>
      <c r="D5" s="4" t="s">
        <v>135</v>
      </c>
      <c r="E5" s="4" t="s">
        <v>371</v>
      </c>
      <c r="F5" s="4" t="s">
        <v>346</v>
      </c>
      <c r="G5" s="4" t="s">
        <v>347</v>
      </c>
      <c r="H5" s="4" t="s">
        <v>372</v>
      </c>
      <c r="I5" s="4" t="s">
        <v>353</v>
      </c>
      <c r="J5" s="4" t="s">
        <v>348</v>
      </c>
      <c r="K5" s="4" t="s">
        <v>343</v>
      </c>
      <c r="L5" s="4" t="s">
        <v>305</v>
      </c>
      <c r="M5" s="4" t="s">
        <v>373</v>
      </c>
      <c r="N5" s="4" t="s">
        <v>374</v>
      </c>
      <c r="O5" s="4" t="s">
        <v>135</v>
      </c>
      <c r="P5" s="4" t="s">
        <v>224</v>
      </c>
      <c r="Q5" s="4" t="s">
        <v>361</v>
      </c>
    </row>
    <row r="6" ht="19.55" customHeight="1" spans="1:17">
      <c r="A6" s="26" t="s">
        <v>355</v>
      </c>
      <c r="B6" s="27"/>
      <c r="C6" s="28">
        <v>31.9398</v>
      </c>
      <c r="D6" s="28">
        <v>31.9398</v>
      </c>
      <c r="E6" s="21">
        <v>9.58194</v>
      </c>
      <c r="F6" s="21">
        <v>4.79097</v>
      </c>
      <c r="G6" s="21">
        <v>4.79097</v>
      </c>
      <c r="H6" s="28"/>
      <c r="I6" s="28"/>
      <c r="J6" s="21"/>
      <c r="K6" s="28"/>
      <c r="L6" s="28"/>
      <c r="M6" s="21">
        <v>4.79097</v>
      </c>
      <c r="N6" s="28">
        <v>7.98495</v>
      </c>
      <c r="O6" s="28"/>
      <c r="P6" s="28"/>
      <c r="Q6" s="28"/>
    </row>
    <row r="7" ht="19.55" customHeight="1" spans="1:17">
      <c r="A7" s="29" t="s">
        <v>165</v>
      </c>
      <c r="B7" s="29" t="s">
        <v>226</v>
      </c>
      <c r="C7" s="28">
        <v>31.9398</v>
      </c>
      <c r="D7" s="28">
        <v>31.9398</v>
      </c>
      <c r="E7" s="21">
        <v>9.58194</v>
      </c>
      <c r="F7" s="21">
        <v>4.79097</v>
      </c>
      <c r="G7" s="21">
        <v>4.79097</v>
      </c>
      <c r="H7" s="28"/>
      <c r="I7" s="28"/>
      <c r="J7" s="21"/>
      <c r="K7" s="28"/>
      <c r="L7" s="28"/>
      <c r="M7" s="21">
        <v>4.79097</v>
      </c>
      <c r="N7" s="28">
        <v>7.98495</v>
      </c>
      <c r="O7" s="28"/>
      <c r="P7" s="28"/>
      <c r="Q7" s="28"/>
    </row>
    <row r="8" ht="19.55" customHeight="1" spans="1:17">
      <c r="A8" s="30" t="s">
        <v>356</v>
      </c>
      <c r="B8" s="30" t="s">
        <v>357</v>
      </c>
      <c r="C8" s="28">
        <v>31.9398</v>
      </c>
      <c r="D8" s="28">
        <v>31.9398</v>
      </c>
      <c r="E8" s="21">
        <v>9.58194</v>
      </c>
      <c r="F8" s="21">
        <v>4.79097</v>
      </c>
      <c r="G8" s="21">
        <v>4.79097</v>
      </c>
      <c r="H8" s="28"/>
      <c r="I8" s="28"/>
      <c r="J8" s="21"/>
      <c r="K8" s="28"/>
      <c r="L8" s="28"/>
      <c r="M8" s="21">
        <v>4.79097</v>
      </c>
      <c r="N8" s="28">
        <v>7.98495</v>
      </c>
      <c r="O8" s="28"/>
      <c r="P8" s="28"/>
      <c r="Q8" s="28"/>
    </row>
    <row r="9" ht="19.55" customHeight="1" spans="1:17">
      <c r="A9" s="30" t="s">
        <v>173</v>
      </c>
      <c r="B9" s="30" t="s">
        <v>174</v>
      </c>
      <c r="C9" s="6">
        <f>'15商品服务'!C9</f>
        <v>31.9398</v>
      </c>
      <c r="D9" s="21">
        <f>'15商品服务'!C9</f>
        <v>31.9398</v>
      </c>
      <c r="E9" s="21">
        <f>C9*0.3</f>
        <v>9.58194</v>
      </c>
      <c r="F9" s="21">
        <f>C9*0.15</f>
        <v>4.79097</v>
      </c>
      <c r="G9" s="21">
        <f>C9*0.15</f>
        <v>4.79097</v>
      </c>
      <c r="H9" s="21"/>
      <c r="I9" s="21"/>
      <c r="J9" s="21"/>
      <c r="K9" s="21"/>
      <c r="L9" s="21"/>
      <c r="M9" s="21">
        <f>C9*0.15</f>
        <v>4.79097</v>
      </c>
      <c r="N9" s="21">
        <f>C9*0.25</f>
        <v>7.98495</v>
      </c>
      <c r="O9" s="21"/>
      <c r="P9" s="21"/>
      <c r="Q9" s="21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3" width="10.7166666666667" customWidth="1"/>
    <col min="4" max="30" width="7.18333333333333" customWidth="1"/>
  </cols>
  <sheetData>
    <row r="1" ht="13.8" customHeight="1" spans="3:30">
      <c r="C1" s="1"/>
      <c r="AC1" s="16" t="s">
        <v>375</v>
      </c>
      <c r="AD1" s="16"/>
    </row>
    <row r="2" ht="43.95" customHeight="1" spans="1:30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24.15" customHeight="1" spans="1:30">
      <c r="A3" s="11" t="str">
        <f>'14商品服务(政府预算)'!A3</f>
        <v>部门：127045_益阳市赫山区世通学校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 t="s">
        <v>31</v>
      </c>
      <c r="AD3" s="9"/>
    </row>
    <row r="4" ht="25" customHeight="1" spans="1:30">
      <c r="A4" s="4" t="s">
        <v>155</v>
      </c>
      <c r="B4" s="4" t="s">
        <v>156</v>
      </c>
      <c r="C4" s="4" t="s">
        <v>376</v>
      </c>
      <c r="D4" s="4" t="s">
        <v>333</v>
      </c>
      <c r="E4" s="4" t="s">
        <v>334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  <c r="L4" s="4" t="s">
        <v>341</v>
      </c>
      <c r="M4" s="4" t="s">
        <v>342</v>
      </c>
      <c r="N4" s="4" t="s">
        <v>343</v>
      </c>
      <c r="O4" s="4" t="s">
        <v>373</v>
      </c>
      <c r="P4" s="4" t="s">
        <v>345</v>
      </c>
      <c r="Q4" s="4" t="s">
        <v>346</v>
      </c>
      <c r="R4" s="4" t="s">
        <v>347</v>
      </c>
      <c r="S4" s="4" t="s">
        <v>348</v>
      </c>
      <c r="T4" s="4" t="s">
        <v>349</v>
      </c>
      <c r="U4" s="4" t="s">
        <v>350</v>
      </c>
      <c r="V4" s="4" t="s">
        <v>351</v>
      </c>
      <c r="W4" s="4" t="s">
        <v>352</v>
      </c>
      <c r="X4" s="4" t="s">
        <v>353</v>
      </c>
      <c r="Y4" s="4" t="s">
        <v>303</v>
      </c>
      <c r="Z4" s="4" t="s">
        <v>304</v>
      </c>
      <c r="AA4" s="4" t="s">
        <v>305</v>
      </c>
      <c r="AB4" s="4" t="s">
        <v>306</v>
      </c>
      <c r="AC4" s="4" t="s">
        <v>354</v>
      </c>
      <c r="AD4" s="4" t="s">
        <v>374</v>
      </c>
    </row>
    <row r="5" ht="21.55" customHeight="1" spans="1:3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9.55" customHeight="1" spans="1:30">
      <c r="A6" s="26" t="s">
        <v>355</v>
      </c>
      <c r="B6" s="27"/>
      <c r="C6" s="28">
        <f>C9</f>
        <v>31.9398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>
        <f>Y9</f>
        <v>12.3365</v>
      </c>
      <c r="Z6" s="28">
        <f>Z9</f>
        <v>19.6033</v>
      </c>
      <c r="AA6" s="28"/>
      <c r="AB6" s="28"/>
      <c r="AC6" s="28"/>
      <c r="AD6" s="28"/>
    </row>
    <row r="7" ht="19.55" customHeight="1" spans="1:30">
      <c r="A7" s="29" t="s">
        <v>165</v>
      </c>
      <c r="B7" s="29" t="s">
        <v>226</v>
      </c>
      <c r="C7" s="28">
        <f>C9</f>
        <v>31.9398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>
        <f>Y9</f>
        <v>12.3365</v>
      </c>
      <c r="Z7" s="28">
        <f>Z9</f>
        <v>19.6033</v>
      </c>
      <c r="AA7" s="28"/>
      <c r="AB7" s="28"/>
      <c r="AC7" s="28"/>
      <c r="AD7" s="28"/>
    </row>
    <row r="8" ht="19.55" customHeight="1" spans="1:30">
      <c r="A8" s="30" t="s">
        <v>356</v>
      </c>
      <c r="B8" s="30" t="s">
        <v>357</v>
      </c>
      <c r="C8" s="28">
        <f>C9</f>
        <v>31.9398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>
        <f>Y9</f>
        <v>12.3365</v>
      </c>
      <c r="Z8" s="28">
        <f>Z9</f>
        <v>19.6033</v>
      </c>
      <c r="AA8" s="28"/>
      <c r="AB8" s="28"/>
      <c r="AC8" s="28"/>
      <c r="AD8" s="28"/>
    </row>
    <row r="9" ht="19.55" customHeight="1" spans="1:30">
      <c r="A9" s="30" t="s">
        <v>173</v>
      </c>
      <c r="B9" s="30" t="s">
        <v>174</v>
      </c>
      <c r="C9" s="21">
        <f>'8一般公共预算基本支出表（纵向）'!C16</f>
        <v>31.9398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f>'8一般公共预算基本支出表（纵向）'!E28</f>
        <v>12.3365</v>
      </c>
      <c r="Z9" s="21">
        <f>'8一般公共预算基本支出表（纵向）'!E29</f>
        <v>19.6033</v>
      </c>
      <c r="AA9" s="21"/>
      <c r="AB9" s="21"/>
      <c r="AC9" s="21"/>
      <c r="AD9" s="21"/>
    </row>
  </sheetData>
  <mergeCells count="34"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6" sqref="C6:H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377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'15商品服务'!A3</f>
        <v>部门：127045_益阳市赫山区世通学校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378</v>
      </c>
      <c r="B4" s="4" t="s">
        <v>379</v>
      </c>
      <c r="C4" s="4" t="s">
        <v>380</v>
      </c>
      <c r="D4" s="4" t="s">
        <v>381</v>
      </c>
      <c r="E4" s="4" t="s">
        <v>382</v>
      </c>
      <c r="F4" s="4"/>
      <c r="G4" s="4"/>
      <c r="H4" s="4" t="s">
        <v>383</v>
      </c>
    </row>
    <row r="5" ht="25.85" customHeight="1" spans="1:8">
      <c r="A5" s="4"/>
      <c r="B5" s="4"/>
      <c r="C5" s="4"/>
      <c r="D5" s="4"/>
      <c r="E5" s="4" t="s">
        <v>137</v>
      </c>
      <c r="F5" s="4" t="s">
        <v>384</v>
      </c>
      <c r="G5" s="4" t="s">
        <v>385</v>
      </c>
      <c r="H5" s="4"/>
    </row>
    <row r="6" ht="22.8" customHeight="1" spans="1:8">
      <c r="A6" s="14"/>
      <c r="B6" s="14" t="s">
        <v>135</v>
      </c>
      <c r="C6" s="13"/>
      <c r="D6" s="13"/>
      <c r="E6" s="13"/>
      <c r="F6" s="13"/>
      <c r="G6" s="13"/>
      <c r="H6" s="13"/>
    </row>
    <row r="7" ht="22.8" customHeight="1" spans="1:8">
      <c r="A7" s="12">
        <f>封面!E4</f>
        <v>127045</v>
      </c>
      <c r="B7" s="12" t="str">
        <f>封面!E5</f>
        <v>益阳市赫山区世通学校</v>
      </c>
      <c r="C7" s="13"/>
      <c r="D7" s="13"/>
      <c r="E7" s="13"/>
      <c r="F7" s="13"/>
      <c r="G7" s="13"/>
      <c r="H7" s="13"/>
    </row>
    <row r="8" ht="22.8" customHeight="1" spans="1:8">
      <c r="A8" s="19">
        <f>A7</f>
        <v>127045</v>
      </c>
      <c r="B8" s="19" t="str">
        <f>B7</f>
        <v>益阳市赫山区世通学校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386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'16三公'!A3</f>
        <v>部门：127045_益阳市赫山区世通学校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387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7.6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tr">
        <f>'17政府性基金'!A3</f>
        <v>部门：127045_益阳市赫山区世通学校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7.6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19.8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tr">
        <f>'18政府性基金(政府预算)'!A3</f>
        <v>部门：127045_益阳市赫山区世通学校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202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203</v>
      </c>
      <c r="I5" s="4" t="s">
        <v>204</v>
      </c>
      <c r="J5" s="4" t="s">
        <v>195</v>
      </c>
      <c r="K5" s="4" t="s">
        <v>135</v>
      </c>
      <c r="L5" s="4" t="s">
        <v>206</v>
      </c>
      <c r="M5" s="4" t="s">
        <v>207</v>
      </c>
      <c r="N5" s="4" t="s">
        <v>197</v>
      </c>
      <c r="O5" s="4" t="s">
        <v>208</v>
      </c>
      <c r="P5" s="4" t="s">
        <v>209</v>
      </c>
      <c r="Q5" s="4" t="s">
        <v>210</v>
      </c>
      <c r="R5" s="4" t="s">
        <v>193</v>
      </c>
      <c r="S5" s="4" t="s">
        <v>196</v>
      </c>
      <c r="T5" s="4" t="s">
        <v>200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390</v>
      </c>
    </row>
    <row r="2" ht="38.8" customHeight="1" spans="1:8">
      <c r="A2" s="17" t="s">
        <v>391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'19政府性基金（部门预算）'!A3</f>
        <v>部门：127045_益阳市赫山区世通学校</v>
      </c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392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3.2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0" sqref="B10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393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'20国有资本经营预算'!A3</f>
        <v>部门：127045_益阳市赫山区世通学校</v>
      </c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394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4.1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f t="shared" ref="C7:C12" si="0">H7</f>
        <v>82.7582</v>
      </c>
      <c r="D7" s="13"/>
      <c r="E7" s="13"/>
      <c r="F7" s="13"/>
      <c r="G7" s="13"/>
      <c r="H7" s="13">
        <f>H12</f>
        <v>82.7582</v>
      </c>
    </row>
    <row r="8" ht="22.8" customHeight="1" spans="1:8">
      <c r="A8" s="12">
        <f>'16三公'!A7</f>
        <v>127045</v>
      </c>
      <c r="B8" s="12" t="str">
        <f>'16三公'!B7</f>
        <v>益阳市赫山区世通学校</v>
      </c>
      <c r="C8" s="13">
        <f t="shared" si="0"/>
        <v>82.7582</v>
      </c>
      <c r="D8" s="13"/>
      <c r="E8" s="13"/>
      <c r="F8" s="13"/>
      <c r="G8" s="13"/>
      <c r="H8" s="13">
        <f>H12</f>
        <v>82.7582</v>
      </c>
    </row>
    <row r="9" ht="22.8" customHeight="1" spans="1:8">
      <c r="A9" s="20">
        <f>A8</f>
        <v>127045</v>
      </c>
      <c r="B9" s="20" t="str">
        <f>B8</f>
        <v>益阳市赫山区世通学校</v>
      </c>
      <c r="C9" s="13">
        <f t="shared" si="0"/>
        <v>82.7582</v>
      </c>
      <c r="D9" s="13"/>
      <c r="E9" s="13"/>
      <c r="F9" s="13"/>
      <c r="G9" s="13"/>
      <c r="H9" s="13">
        <f>H12</f>
        <v>82.7582</v>
      </c>
    </row>
    <row r="10" ht="22.8" customHeight="1" spans="1:8">
      <c r="A10" s="20" t="s">
        <v>395</v>
      </c>
      <c r="B10" s="20" t="s">
        <v>396</v>
      </c>
      <c r="C10" s="13">
        <f t="shared" si="0"/>
        <v>82.7582</v>
      </c>
      <c r="D10" s="13"/>
      <c r="E10" s="13"/>
      <c r="F10" s="13"/>
      <c r="G10" s="13"/>
      <c r="H10" s="13">
        <f>H12</f>
        <v>82.7582</v>
      </c>
    </row>
    <row r="11" ht="22.8" customHeight="1" spans="1:8">
      <c r="A11" s="20" t="s">
        <v>397</v>
      </c>
      <c r="B11" s="20" t="s">
        <v>398</v>
      </c>
      <c r="C11" s="13">
        <f t="shared" si="0"/>
        <v>82.7582</v>
      </c>
      <c r="D11" s="13"/>
      <c r="E11" s="13"/>
      <c r="F11" s="13"/>
      <c r="G11" s="13"/>
      <c r="H11" s="13">
        <f>H12</f>
        <v>82.7582</v>
      </c>
    </row>
    <row r="12" ht="22.8" customHeight="1" spans="1:8">
      <c r="A12" s="19" t="s">
        <v>399</v>
      </c>
      <c r="B12" s="19" t="s">
        <v>400</v>
      </c>
      <c r="C12" s="6">
        <f t="shared" si="0"/>
        <v>82.7582</v>
      </c>
      <c r="D12" s="6"/>
      <c r="E12" s="21"/>
      <c r="F12" s="21"/>
      <c r="G12" s="21"/>
      <c r="H12" s="21">
        <f>'1收支总表'!B32</f>
        <v>82.7582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6" workbookViewId="0">
      <selection activeCell="B10" sqref="B10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401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tr">
        <f>'21财政专户管理资金'!A3</f>
        <v>部门：127045_益阳市赫山区世通学校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184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138</v>
      </c>
      <c r="E5" s="4"/>
      <c r="F5" s="4"/>
      <c r="G5" s="4"/>
      <c r="H5" s="4"/>
      <c r="I5" s="4"/>
      <c r="J5" s="4" t="s">
        <v>406</v>
      </c>
      <c r="K5" s="4" t="s">
        <v>140</v>
      </c>
      <c r="L5" s="4" t="s">
        <v>141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8" customHeight="1" spans="1:14">
      <c r="A7" s="14"/>
      <c r="B7" s="18" t="s">
        <v>135</v>
      </c>
      <c r="C7" s="13">
        <f>M8</f>
        <v>467.59934</v>
      </c>
      <c r="D7" s="13">
        <f>M8</f>
        <v>467.59934</v>
      </c>
      <c r="E7" s="13"/>
      <c r="F7" s="13"/>
      <c r="G7" s="13"/>
      <c r="H7" s="13"/>
      <c r="I7" s="13"/>
      <c r="J7" s="13"/>
      <c r="K7" s="13"/>
      <c r="L7" s="13"/>
      <c r="M7" s="13">
        <f>M8</f>
        <v>467.59934</v>
      </c>
      <c r="N7" s="14"/>
    </row>
    <row r="8" ht="22.8" customHeight="1" spans="1:14">
      <c r="A8" s="12">
        <f>'21财政专户管理资金'!$A$8</f>
        <v>127045</v>
      </c>
      <c r="B8" s="12" t="str">
        <f>'21财政专户管理资金'!B8</f>
        <v>益阳市赫山区世通学校</v>
      </c>
      <c r="C8" s="13">
        <f>D8</f>
        <v>467.59934</v>
      </c>
      <c r="D8" s="13">
        <f>M8</f>
        <v>467.59934</v>
      </c>
      <c r="E8" s="13"/>
      <c r="F8" s="13"/>
      <c r="G8" s="13"/>
      <c r="H8" s="13"/>
      <c r="I8" s="13"/>
      <c r="J8" s="13"/>
      <c r="K8" s="13"/>
      <c r="L8" s="13"/>
      <c r="M8" s="13">
        <f>SUM(M9:M28)</f>
        <v>467.59934</v>
      </c>
      <c r="N8" s="14"/>
    </row>
    <row r="9" ht="22.8" customHeight="1" spans="1:14">
      <c r="A9" s="8">
        <f>'21财政专户管理资金'!$A$8</f>
        <v>127045</v>
      </c>
      <c r="B9" s="19" t="s">
        <v>415</v>
      </c>
      <c r="C9" s="6">
        <f t="shared" ref="C9:C28" si="0">D9</f>
        <v>0</v>
      </c>
      <c r="D9" s="6">
        <f t="shared" ref="D9:D28" si="1">M9</f>
        <v>0</v>
      </c>
      <c r="E9" s="6"/>
      <c r="F9" s="6"/>
      <c r="G9" s="6"/>
      <c r="H9" s="6"/>
      <c r="I9" s="6"/>
      <c r="J9" s="6"/>
      <c r="K9" s="6"/>
      <c r="L9" s="6"/>
      <c r="M9" s="6">
        <v>0</v>
      </c>
      <c r="N9" s="5"/>
    </row>
    <row r="10" ht="22.8" customHeight="1" spans="1:14">
      <c r="A10" s="8">
        <f>'21财政专户管理资金'!$A$8</f>
        <v>127045</v>
      </c>
      <c r="B10" s="19" t="s">
        <v>416</v>
      </c>
      <c r="C10" s="6">
        <f t="shared" si="0"/>
        <v>0</v>
      </c>
      <c r="D10" s="6">
        <f t="shared" si="1"/>
        <v>0</v>
      </c>
      <c r="E10" s="6"/>
      <c r="F10" s="6"/>
      <c r="G10" s="6"/>
      <c r="H10" s="6"/>
      <c r="I10" s="6"/>
      <c r="J10" s="6"/>
      <c r="K10" s="6"/>
      <c r="L10" s="6"/>
      <c r="M10" s="6">
        <v>0</v>
      </c>
      <c r="N10" s="5"/>
    </row>
    <row r="11" ht="22.8" customHeight="1" spans="1:14">
      <c r="A11" s="8">
        <f>'21财政专户管理资金'!$A$8</f>
        <v>127045</v>
      </c>
      <c r="B11" s="19" t="s">
        <v>417</v>
      </c>
      <c r="C11" s="6">
        <f t="shared" si="0"/>
        <v>0</v>
      </c>
      <c r="D11" s="6">
        <f t="shared" si="1"/>
        <v>0</v>
      </c>
      <c r="E11" s="6"/>
      <c r="F11" s="6"/>
      <c r="G11" s="6"/>
      <c r="H11" s="6"/>
      <c r="I11" s="6"/>
      <c r="J11" s="6"/>
      <c r="K11" s="6"/>
      <c r="L11" s="6"/>
      <c r="M11" s="6">
        <v>0</v>
      </c>
      <c r="N11" s="5"/>
    </row>
    <row r="12" ht="22.8" customHeight="1" spans="1:14">
      <c r="A12" s="8">
        <f>'21财政专户管理资金'!$A$8</f>
        <v>127045</v>
      </c>
      <c r="B12" s="19" t="s">
        <v>418</v>
      </c>
      <c r="C12" s="6">
        <f t="shared" si="0"/>
        <v>0</v>
      </c>
      <c r="D12" s="6">
        <f t="shared" si="1"/>
        <v>0</v>
      </c>
      <c r="E12" s="6"/>
      <c r="F12" s="6"/>
      <c r="G12" s="6"/>
      <c r="H12" s="6"/>
      <c r="I12" s="6"/>
      <c r="J12" s="6"/>
      <c r="K12" s="6"/>
      <c r="L12" s="6"/>
      <c r="M12" s="6">
        <v>0</v>
      </c>
      <c r="N12" s="5"/>
    </row>
    <row r="13" ht="22.8" customHeight="1" spans="1:14">
      <c r="A13" s="8">
        <f>'21财政专户管理资金'!$A$8</f>
        <v>127045</v>
      </c>
      <c r="B13" s="19" t="s">
        <v>419</v>
      </c>
      <c r="C13" s="6">
        <f t="shared" si="0"/>
        <v>62.46</v>
      </c>
      <c r="D13" s="6">
        <f t="shared" si="1"/>
        <v>62.46</v>
      </c>
      <c r="E13" s="6"/>
      <c r="F13" s="6"/>
      <c r="G13" s="6"/>
      <c r="H13" s="6"/>
      <c r="I13" s="6"/>
      <c r="J13" s="6"/>
      <c r="K13" s="6"/>
      <c r="L13" s="6"/>
      <c r="M13" s="6">
        <f>VLOOKUP(B8,[2]Sheet1!$A:$AI,35,0)/10000</f>
        <v>62.46</v>
      </c>
      <c r="N13" s="5"/>
    </row>
    <row r="14" ht="22.8" customHeight="1" spans="1:14">
      <c r="A14" s="8">
        <f>'21财政专户管理资金'!$A$8</f>
        <v>127045</v>
      </c>
      <c r="B14" s="19" t="s">
        <v>420</v>
      </c>
      <c r="C14" s="6">
        <f t="shared" si="0"/>
        <v>0</v>
      </c>
      <c r="D14" s="6">
        <f t="shared" si="1"/>
        <v>0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5"/>
    </row>
    <row r="15" ht="22.8" customHeight="1" spans="1:14">
      <c r="A15" s="8">
        <f>'21财政专户管理资金'!$A$8</f>
        <v>127045</v>
      </c>
      <c r="B15" s="19" t="s">
        <v>421</v>
      </c>
      <c r="C15" s="6">
        <f t="shared" si="0"/>
        <v>386.81934</v>
      </c>
      <c r="D15" s="6">
        <f t="shared" si="1"/>
        <v>386.81934</v>
      </c>
      <c r="E15" s="6"/>
      <c r="F15" s="6"/>
      <c r="G15" s="6"/>
      <c r="H15" s="6"/>
      <c r="I15" s="6"/>
      <c r="J15" s="6"/>
      <c r="K15" s="6"/>
      <c r="L15" s="6"/>
      <c r="M15" s="6">
        <f>VLOOKUP(B8,[2]Sheet1!$A:$V,22,0)/10000</f>
        <v>386.81934</v>
      </c>
      <c r="N15" s="5"/>
    </row>
    <row r="16" ht="22.8" customHeight="1" spans="1:14">
      <c r="A16" s="8">
        <f>'21财政专户管理资金'!$A$8</f>
        <v>127045</v>
      </c>
      <c r="B16" s="19" t="s">
        <v>422</v>
      </c>
      <c r="C16" s="6">
        <f t="shared" si="0"/>
        <v>0</v>
      </c>
      <c r="D16" s="6">
        <f t="shared" si="1"/>
        <v>0</v>
      </c>
      <c r="E16" s="6"/>
      <c r="F16" s="6"/>
      <c r="G16" s="6"/>
      <c r="H16" s="6"/>
      <c r="I16" s="6"/>
      <c r="J16" s="6"/>
      <c r="K16" s="6"/>
      <c r="L16" s="6"/>
      <c r="M16" s="6">
        <f>VLOOKUP(B8,[2]Sheet1!$A:$Z,26,0)/10000</f>
        <v>0</v>
      </c>
      <c r="N16" s="5"/>
    </row>
    <row r="17" ht="22.8" customHeight="1" spans="1:14">
      <c r="A17" s="8">
        <f>'21财政专户管理资金'!$A$8</f>
        <v>127045</v>
      </c>
      <c r="B17" s="19" t="s">
        <v>423</v>
      </c>
      <c r="C17" s="6">
        <f t="shared" si="0"/>
        <v>0</v>
      </c>
      <c r="D17" s="6">
        <f t="shared" si="1"/>
        <v>0</v>
      </c>
      <c r="E17" s="6"/>
      <c r="F17" s="6"/>
      <c r="G17" s="6"/>
      <c r="H17" s="6"/>
      <c r="I17" s="6"/>
      <c r="J17" s="6"/>
      <c r="K17" s="6"/>
      <c r="L17" s="6"/>
      <c r="M17" s="6">
        <v>0</v>
      </c>
      <c r="N17" s="5"/>
    </row>
    <row r="18" ht="22.8" customHeight="1" spans="1:14">
      <c r="A18" s="8">
        <f>'21财政专户管理资金'!$A$8</f>
        <v>127045</v>
      </c>
      <c r="B18" s="19" t="s">
        <v>424</v>
      </c>
      <c r="C18" s="6">
        <f t="shared" si="0"/>
        <v>0</v>
      </c>
      <c r="D18" s="6">
        <f t="shared" si="1"/>
        <v>0</v>
      </c>
      <c r="E18" s="6"/>
      <c r="F18" s="6"/>
      <c r="G18" s="6"/>
      <c r="H18" s="6"/>
      <c r="I18" s="6"/>
      <c r="J18" s="6"/>
      <c r="K18" s="6"/>
      <c r="L18" s="6"/>
      <c r="M18" s="6">
        <f>VLOOKUP(B8,[2]Sheet1!$A:$AE,31,0)/10000</f>
        <v>0</v>
      </c>
      <c r="N18" s="5"/>
    </row>
    <row r="19" ht="22.8" customHeight="1" spans="1:14">
      <c r="A19" s="8">
        <f>'21财政专户管理资金'!$A$8</f>
        <v>127045</v>
      </c>
      <c r="B19" s="19" t="s">
        <v>425</v>
      </c>
      <c r="C19" s="6">
        <f t="shared" si="0"/>
        <v>0</v>
      </c>
      <c r="D19" s="6">
        <f t="shared" si="1"/>
        <v>0</v>
      </c>
      <c r="E19" s="6"/>
      <c r="F19" s="6"/>
      <c r="G19" s="6"/>
      <c r="H19" s="6"/>
      <c r="I19" s="6"/>
      <c r="J19" s="6"/>
      <c r="K19" s="6"/>
      <c r="L19" s="6"/>
      <c r="M19" s="6">
        <v>0</v>
      </c>
      <c r="N19" s="5"/>
    </row>
    <row r="20" ht="22.8" customHeight="1" spans="1:14">
      <c r="A20" s="8">
        <f>'21财政专户管理资金'!$A$8</f>
        <v>127045</v>
      </c>
      <c r="B20" s="19" t="s">
        <v>426</v>
      </c>
      <c r="C20" s="6">
        <f t="shared" si="0"/>
        <v>1.52</v>
      </c>
      <c r="D20" s="6">
        <f t="shared" si="1"/>
        <v>1.52</v>
      </c>
      <c r="E20" s="6"/>
      <c r="F20" s="6"/>
      <c r="G20" s="6"/>
      <c r="H20" s="6"/>
      <c r="I20" s="6"/>
      <c r="J20" s="6"/>
      <c r="K20" s="6"/>
      <c r="L20" s="6"/>
      <c r="M20" s="6">
        <f>VLOOKUP(B8,[2]Sheet1!$A:$AD,30,0)/10000</f>
        <v>1.52</v>
      </c>
      <c r="N20" s="5"/>
    </row>
    <row r="21" ht="22.8" customHeight="1" spans="1:14">
      <c r="A21" s="8">
        <f>'21财政专户管理资金'!$A$8</f>
        <v>127045</v>
      </c>
      <c r="B21" s="19" t="s">
        <v>427</v>
      </c>
      <c r="C21" s="6">
        <f t="shared" si="0"/>
        <v>0</v>
      </c>
      <c r="D21" s="6">
        <f t="shared" si="1"/>
        <v>0</v>
      </c>
      <c r="E21" s="6"/>
      <c r="F21" s="6"/>
      <c r="G21" s="6"/>
      <c r="H21" s="6"/>
      <c r="I21" s="6"/>
      <c r="J21" s="6"/>
      <c r="K21" s="6"/>
      <c r="L21" s="6"/>
      <c r="M21" s="6">
        <v>0</v>
      </c>
      <c r="N21" s="5"/>
    </row>
    <row r="22" ht="22.8" customHeight="1" spans="1:14">
      <c r="A22" s="8">
        <f>'21财政专户管理资金'!$A$8</f>
        <v>127045</v>
      </c>
      <c r="B22" s="19" t="s">
        <v>428</v>
      </c>
      <c r="C22" s="6">
        <f t="shared" si="0"/>
        <v>0</v>
      </c>
      <c r="D22" s="6">
        <f t="shared" si="1"/>
        <v>0</v>
      </c>
      <c r="E22" s="6"/>
      <c r="F22" s="6"/>
      <c r="G22" s="6"/>
      <c r="H22" s="6"/>
      <c r="I22" s="6"/>
      <c r="J22" s="6"/>
      <c r="K22" s="6"/>
      <c r="L22" s="6"/>
      <c r="M22" s="6">
        <f>VLOOKUP(B8,[2]Sheet1!$A:$W,23,0)/10000</f>
        <v>0</v>
      </c>
      <c r="N22" s="5"/>
    </row>
    <row r="23" ht="22.8" customHeight="1" spans="1:14">
      <c r="A23" s="8">
        <f>'21财政专户管理资金'!$A$8</f>
        <v>127045</v>
      </c>
      <c r="B23" s="19" t="s">
        <v>429</v>
      </c>
      <c r="C23" s="6">
        <f t="shared" si="0"/>
        <v>0</v>
      </c>
      <c r="D23" s="6">
        <f t="shared" si="1"/>
        <v>0</v>
      </c>
      <c r="E23" s="6"/>
      <c r="F23" s="6"/>
      <c r="G23" s="6"/>
      <c r="H23" s="6"/>
      <c r="I23" s="6"/>
      <c r="J23" s="6"/>
      <c r="K23" s="6"/>
      <c r="L23" s="6"/>
      <c r="M23" s="6">
        <v>0</v>
      </c>
      <c r="N23" s="5"/>
    </row>
    <row r="24" ht="22.8" customHeight="1" spans="1:14">
      <c r="A24" s="8">
        <f>'21财政专户管理资金'!$A$8</f>
        <v>127045</v>
      </c>
      <c r="B24" s="19" t="s">
        <v>430</v>
      </c>
      <c r="C24" s="6">
        <f t="shared" si="0"/>
        <v>0</v>
      </c>
      <c r="D24" s="6">
        <f t="shared" si="1"/>
        <v>0</v>
      </c>
      <c r="E24" s="6"/>
      <c r="F24" s="6"/>
      <c r="G24" s="6"/>
      <c r="H24" s="6"/>
      <c r="I24" s="6"/>
      <c r="J24" s="6"/>
      <c r="K24" s="6"/>
      <c r="L24" s="6"/>
      <c r="M24" s="6">
        <f>VLOOKUP(B8,[2]Sheet1!$A:$AH,34,0)/10000</f>
        <v>0</v>
      </c>
      <c r="N24" s="5"/>
    </row>
    <row r="25" ht="22.8" customHeight="1" spans="1:14">
      <c r="A25" s="8">
        <f>'21财政专户管理资金'!$A$8</f>
        <v>127045</v>
      </c>
      <c r="B25" s="19" t="s">
        <v>431</v>
      </c>
      <c r="C25" s="6">
        <f t="shared" si="0"/>
        <v>16.8</v>
      </c>
      <c r="D25" s="6">
        <f t="shared" si="1"/>
        <v>16.8</v>
      </c>
      <c r="E25" s="6"/>
      <c r="F25" s="6"/>
      <c r="G25" s="6"/>
      <c r="H25" s="6"/>
      <c r="I25" s="6"/>
      <c r="J25" s="6"/>
      <c r="K25" s="6"/>
      <c r="L25" s="6"/>
      <c r="M25" s="6">
        <f>VLOOKUP(B8,[2]Sheet1!$A:$AA,27,0)/10000</f>
        <v>16.8</v>
      </c>
      <c r="N25" s="5"/>
    </row>
    <row r="26" ht="22.8" customHeight="1" spans="1:14">
      <c r="A26" s="8">
        <f>'21财政专户管理资金'!$A$8</f>
        <v>127045</v>
      </c>
      <c r="B26" s="19" t="s">
        <v>432</v>
      </c>
      <c r="C26" s="6">
        <f t="shared" si="0"/>
        <v>0</v>
      </c>
      <c r="D26" s="6">
        <f t="shared" si="1"/>
        <v>0</v>
      </c>
      <c r="E26" s="6"/>
      <c r="F26" s="6"/>
      <c r="G26" s="6"/>
      <c r="H26" s="6"/>
      <c r="I26" s="6"/>
      <c r="J26" s="6"/>
      <c r="K26" s="6"/>
      <c r="L26" s="6"/>
      <c r="M26" s="6">
        <f>VLOOKUP(B8,[2]Sheet1!$A:$X,24,0)/10000</f>
        <v>0</v>
      </c>
      <c r="N26" s="5"/>
    </row>
    <row r="27" ht="22.8" customHeight="1" spans="1:14">
      <c r="A27" s="8">
        <f>'21财政专户管理资金'!$A$8</f>
        <v>127045</v>
      </c>
      <c r="B27" s="19" t="s">
        <v>433</v>
      </c>
      <c r="C27" s="6">
        <f t="shared" si="0"/>
        <v>0</v>
      </c>
      <c r="D27" s="6">
        <f t="shared" si="1"/>
        <v>0</v>
      </c>
      <c r="E27" s="6"/>
      <c r="F27" s="6"/>
      <c r="G27" s="6"/>
      <c r="H27" s="6"/>
      <c r="I27" s="6"/>
      <c r="J27" s="6"/>
      <c r="K27" s="6"/>
      <c r="L27" s="6"/>
      <c r="M27" s="6">
        <f>VLOOKUP(B8,[2]Sheet1!$A:$Y,25,0)/10000</f>
        <v>0</v>
      </c>
      <c r="N27" s="5"/>
    </row>
    <row r="28" ht="22.8" customHeight="1" spans="1:14">
      <c r="A28" s="8">
        <f>'21财政专户管理资金'!$A$8</f>
        <v>127045</v>
      </c>
      <c r="B28" s="19" t="s">
        <v>434</v>
      </c>
      <c r="C28" s="6">
        <f t="shared" si="0"/>
        <v>0</v>
      </c>
      <c r="D28" s="6">
        <f t="shared" si="1"/>
        <v>0</v>
      </c>
      <c r="E28" s="6"/>
      <c r="F28" s="6"/>
      <c r="G28" s="6"/>
      <c r="H28" s="6"/>
      <c r="I28" s="6"/>
      <c r="J28" s="6"/>
      <c r="K28" s="6"/>
      <c r="L28" s="6"/>
      <c r="M28" s="6">
        <f>VLOOKUP(B8,[2]Sheet1!$A:$AC,29,0)/10000</f>
        <v>0</v>
      </c>
      <c r="N2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workbookViewId="0">
      <pane ySplit="5" topLeftCell="A6" activePane="bottomLeft" state="frozen"/>
      <selection/>
      <selection pane="bottomLeft" activeCell="C7" sqref="C7:C226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435</v>
      </c>
    </row>
    <row r="2" ht="37.95" customHeight="1" spans="1:13">
      <c r="A2" s="1"/>
      <c r="B2" s="1"/>
      <c r="C2" s="10" t="s">
        <v>436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tr">
        <f>'22专项清单'!A3</f>
        <v>部门：127045_益阳市赫山区世通学校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184</v>
      </c>
      <c r="B4" s="4" t="s">
        <v>437</v>
      </c>
      <c r="C4" s="4" t="s">
        <v>438</v>
      </c>
      <c r="D4" s="4" t="s">
        <v>439</v>
      </c>
      <c r="E4" s="4" t="s">
        <v>440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441</v>
      </c>
      <c r="F5" s="4" t="s">
        <v>442</v>
      </c>
      <c r="G5" s="4" t="s">
        <v>443</v>
      </c>
      <c r="H5" s="4" t="s">
        <v>444</v>
      </c>
      <c r="I5" s="4" t="s">
        <v>445</v>
      </c>
      <c r="J5" s="4" t="s">
        <v>446</v>
      </c>
      <c r="K5" s="4" t="s">
        <v>447</v>
      </c>
      <c r="L5" s="4" t="s">
        <v>448</v>
      </c>
      <c r="M5" s="4" t="s">
        <v>449</v>
      </c>
    </row>
    <row r="6" ht="18.1" customHeight="1" spans="1:13">
      <c r="A6" s="12">
        <f>'22专项清单'!A8</f>
        <v>127045</v>
      </c>
      <c r="B6" s="12" t="str">
        <f>'22专项清单'!B8</f>
        <v>益阳市赫山区世通学校</v>
      </c>
      <c r="C6" s="13">
        <f>'22专项清单'!C7</f>
        <v>467.59934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>
        <f>$A$6</f>
        <v>127045</v>
      </c>
      <c r="B7" s="5" t="s">
        <v>415</v>
      </c>
      <c r="C7" s="6">
        <f>VLOOKUP(B7,'22专项清单'!B:C,2,0)</f>
        <v>0</v>
      </c>
      <c r="D7" s="5" t="s">
        <v>415</v>
      </c>
      <c r="E7" s="15" t="s">
        <v>450</v>
      </c>
      <c r="F7" s="15" t="s">
        <v>451</v>
      </c>
      <c r="G7" s="5" t="s">
        <v>452</v>
      </c>
      <c r="H7" s="5" t="s">
        <v>453</v>
      </c>
      <c r="I7" s="5"/>
      <c r="J7" s="5"/>
      <c r="K7" s="5" t="s">
        <v>454</v>
      </c>
      <c r="L7" s="5" t="s">
        <v>455</v>
      </c>
      <c r="M7" s="5"/>
    </row>
    <row r="8" ht="24.4" customHeight="1" spans="1:13">
      <c r="A8" s="5"/>
      <c r="B8" s="5"/>
      <c r="C8" s="6"/>
      <c r="D8" s="5"/>
      <c r="E8" s="15"/>
      <c r="F8" s="15" t="s">
        <v>456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457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458</v>
      </c>
      <c r="F10" s="15" t="s">
        <v>459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/>
      <c r="F11" s="15" t="s">
        <v>460</v>
      </c>
      <c r="G11" s="5" t="s">
        <v>461</v>
      </c>
      <c r="H11" s="5" t="s">
        <v>462</v>
      </c>
      <c r="I11" s="5"/>
      <c r="J11" s="5"/>
      <c r="K11" s="5" t="s">
        <v>454</v>
      </c>
      <c r="L11" s="5" t="s">
        <v>463</v>
      </c>
      <c r="M11" s="5"/>
    </row>
    <row r="12" ht="24.4" customHeight="1" spans="1:13">
      <c r="A12" s="5"/>
      <c r="B12" s="5"/>
      <c r="C12" s="6"/>
      <c r="D12" s="5"/>
      <c r="E12" s="15"/>
      <c r="F12" s="15" t="s">
        <v>464</v>
      </c>
      <c r="G12" s="5" t="s">
        <v>465</v>
      </c>
      <c r="H12" s="5" t="s">
        <v>466</v>
      </c>
      <c r="I12" s="5"/>
      <c r="J12" s="5"/>
      <c r="K12" s="5" t="s">
        <v>467</v>
      </c>
      <c r="L12" s="5" t="s">
        <v>468</v>
      </c>
      <c r="M12" s="5"/>
    </row>
    <row r="13" ht="24.4" customHeight="1" spans="1:13">
      <c r="A13" s="5"/>
      <c r="B13" s="5"/>
      <c r="C13" s="6"/>
      <c r="D13" s="5"/>
      <c r="E13" s="15" t="s">
        <v>469</v>
      </c>
      <c r="F13" s="15" t="s">
        <v>470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471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472</v>
      </c>
      <c r="G15" s="5" t="s">
        <v>473</v>
      </c>
      <c r="H15" s="5" t="s">
        <v>453</v>
      </c>
      <c r="I15" s="5"/>
      <c r="J15" s="5"/>
      <c r="K15" s="5" t="s">
        <v>454</v>
      </c>
      <c r="L15" s="5" t="s">
        <v>455</v>
      </c>
      <c r="M15" s="5"/>
    </row>
    <row r="16" ht="24.4" customHeight="1" spans="1:13">
      <c r="A16" s="5"/>
      <c r="B16" s="5"/>
      <c r="C16" s="6"/>
      <c r="D16" s="5"/>
      <c r="E16" s="15"/>
      <c r="F16" s="15" t="s">
        <v>474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475</v>
      </c>
      <c r="F17" s="15" t="s">
        <v>476</v>
      </c>
      <c r="G17" s="5" t="s">
        <v>477</v>
      </c>
      <c r="H17" s="5" t="s">
        <v>453</v>
      </c>
      <c r="I17" s="5"/>
      <c r="J17" s="5"/>
      <c r="K17" s="5" t="s">
        <v>454</v>
      </c>
      <c r="L17" s="5" t="s">
        <v>455</v>
      </c>
      <c r="M17" s="5"/>
    </row>
    <row r="18" ht="24.4" customHeight="1" spans="1:13">
      <c r="A18" s="5">
        <f>$A$6</f>
        <v>127045</v>
      </c>
      <c r="B18" s="5" t="s">
        <v>416</v>
      </c>
      <c r="C18" s="6">
        <f>VLOOKUP(B18,'22专项清单'!B:C,2,0)</f>
        <v>0</v>
      </c>
      <c r="D18" s="5" t="s">
        <v>416</v>
      </c>
      <c r="E18" s="15" t="s">
        <v>450</v>
      </c>
      <c r="F18" s="15" t="s">
        <v>451</v>
      </c>
      <c r="G18" s="5" t="s">
        <v>452</v>
      </c>
      <c r="H18" s="5" t="s">
        <v>453</v>
      </c>
      <c r="I18" s="5"/>
      <c r="J18" s="5"/>
      <c r="K18" s="5" t="s">
        <v>454</v>
      </c>
      <c r="L18" s="5" t="s">
        <v>455</v>
      </c>
      <c r="M18" s="5"/>
    </row>
    <row r="19" ht="24.4" customHeight="1" spans="1:13">
      <c r="A19" s="5"/>
      <c r="B19" s="5"/>
      <c r="C19" s="6"/>
      <c r="D19" s="5"/>
      <c r="E19" s="15"/>
      <c r="F19" s="15" t="s">
        <v>456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457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458</v>
      </c>
      <c r="F21" s="15" t="s">
        <v>459</v>
      </c>
      <c r="G21" s="5" t="s">
        <v>478</v>
      </c>
      <c r="H21" s="5" t="s">
        <v>479</v>
      </c>
      <c r="I21" s="5"/>
      <c r="J21" s="5"/>
      <c r="K21" s="5" t="s">
        <v>480</v>
      </c>
      <c r="L21" s="5" t="s">
        <v>468</v>
      </c>
      <c r="M21" s="5"/>
    </row>
    <row r="22" ht="24.4" customHeight="1" spans="1:13">
      <c r="A22" s="5"/>
      <c r="B22" s="5"/>
      <c r="C22" s="6"/>
      <c r="D22" s="5"/>
      <c r="E22" s="15"/>
      <c r="F22" s="15" t="s">
        <v>460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464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469</v>
      </c>
      <c r="F24" s="15" t="s">
        <v>470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471</v>
      </c>
      <c r="G25" s="5" t="s">
        <v>481</v>
      </c>
      <c r="H25" s="5" t="s">
        <v>482</v>
      </c>
      <c r="I25" s="5"/>
      <c r="J25" s="5"/>
      <c r="K25" s="5" t="s">
        <v>482</v>
      </c>
      <c r="L25" s="5" t="s">
        <v>483</v>
      </c>
      <c r="M25" s="5"/>
    </row>
    <row r="26" ht="24.4" customHeight="1" spans="1:13">
      <c r="A26" s="5"/>
      <c r="B26" s="5"/>
      <c r="C26" s="6"/>
      <c r="D26" s="5"/>
      <c r="E26" s="15"/>
      <c r="F26" s="15" t="s">
        <v>472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474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475</v>
      </c>
      <c r="F28" s="15" t="s">
        <v>476</v>
      </c>
      <c r="G28" s="5" t="s">
        <v>477</v>
      </c>
      <c r="H28" s="5" t="s">
        <v>453</v>
      </c>
      <c r="I28" s="5"/>
      <c r="J28" s="5"/>
      <c r="K28" s="5" t="s">
        <v>454</v>
      </c>
      <c r="L28" s="5" t="s">
        <v>455</v>
      </c>
      <c r="M28" s="5"/>
    </row>
    <row r="29" ht="24.4" customHeight="1" spans="1:13">
      <c r="A29" s="5">
        <f>$A$6</f>
        <v>127045</v>
      </c>
      <c r="B29" s="5" t="s">
        <v>417</v>
      </c>
      <c r="C29" s="6">
        <f>VLOOKUP(B29,'22专项清单'!B:C,2,0)</f>
        <v>0</v>
      </c>
      <c r="D29" s="5" t="s">
        <v>484</v>
      </c>
      <c r="E29" s="15" t="s">
        <v>450</v>
      </c>
      <c r="F29" s="15" t="s">
        <v>451</v>
      </c>
      <c r="G29" s="5" t="s">
        <v>452</v>
      </c>
      <c r="H29" s="5" t="s">
        <v>453</v>
      </c>
      <c r="I29" s="5"/>
      <c r="J29" s="5"/>
      <c r="K29" s="5" t="s">
        <v>454</v>
      </c>
      <c r="L29" s="5" t="s">
        <v>455</v>
      </c>
      <c r="M29" s="5"/>
    </row>
    <row r="30" ht="24.4" customHeight="1" spans="1:13">
      <c r="A30" s="5"/>
      <c r="B30" s="5"/>
      <c r="C30" s="6"/>
      <c r="D30" s="5"/>
      <c r="E30" s="15"/>
      <c r="F30" s="15" t="s">
        <v>456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457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458</v>
      </c>
      <c r="F32" s="15" t="s">
        <v>459</v>
      </c>
      <c r="G32" s="5"/>
      <c r="H32" s="5"/>
      <c r="I32" s="5"/>
      <c r="J32" s="5"/>
      <c r="K32" s="5"/>
      <c r="L32" s="5"/>
      <c r="M32" s="5"/>
    </row>
    <row r="33" ht="24.4" customHeight="1" spans="1:13">
      <c r="A33" s="5"/>
      <c r="B33" s="5"/>
      <c r="C33" s="6"/>
      <c r="D33" s="5"/>
      <c r="E33" s="15"/>
      <c r="F33" s="15" t="s">
        <v>460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464</v>
      </c>
      <c r="G34" s="5" t="s">
        <v>465</v>
      </c>
      <c r="H34" s="5" t="s">
        <v>466</v>
      </c>
      <c r="I34" s="5"/>
      <c r="J34" s="5"/>
      <c r="K34" s="5" t="s">
        <v>467</v>
      </c>
      <c r="L34" s="5" t="s">
        <v>468</v>
      </c>
      <c r="M34" s="5"/>
    </row>
    <row r="35" ht="24.4" customHeight="1" spans="1:13">
      <c r="A35" s="5"/>
      <c r="B35" s="5"/>
      <c r="C35" s="6"/>
      <c r="D35" s="5"/>
      <c r="E35" s="15" t="s">
        <v>469</v>
      </c>
      <c r="F35" s="15" t="s">
        <v>470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471</v>
      </c>
      <c r="G36" s="5"/>
      <c r="H36" s="5"/>
      <c r="I36" s="5"/>
      <c r="J36" s="5"/>
      <c r="K36" s="5"/>
      <c r="L36" s="5"/>
      <c r="M36" s="5"/>
    </row>
    <row r="37" ht="24.4" customHeight="1" spans="1:13">
      <c r="A37" s="5"/>
      <c r="B37" s="5"/>
      <c r="C37" s="6"/>
      <c r="D37" s="5"/>
      <c r="E37" s="15"/>
      <c r="F37" s="15" t="s">
        <v>472</v>
      </c>
      <c r="G37" s="5" t="s">
        <v>473</v>
      </c>
      <c r="H37" s="5" t="s">
        <v>485</v>
      </c>
      <c r="I37" s="5"/>
      <c r="J37" s="5"/>
      <c r="K37" s="5" t="s">
        <v>454</v>
      </c>
      <c r="L37" s="5" t="s">
        <v>455</v>
      </c>
      <c r="M37" s="5"/>
    </row>
    <row r="38" ht="24.4" customHeight="1" spans="1:13">
      <c r="A38" s="5"/>
      <c r="B38" s="5"/>
      <c r="C38" s="6"/>
      <c r="D38" s="5"/>
      <c r="E38" s="15"/>
      <c r="F38" s="15" t="s">
        <v>474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475</v>
      </c>
      <c r="F39" s="15" t="s">
        <v>476</v>
      </c>
      <c r="G39" s="5" t="s">
        <v>477</v>
      </c>
      <c r="H39" s="5" t="s">
        <v>485</v>
      </c>
      <c r="I39" s="5"/>
      <c r="J39" s="5"/>
      <c r="K39" s="5" t="s">
        <v>454</v>
      </c>
      <c r="L39" s="5" t="s">
        <v>455</v>
      </c>
      <c r="M39" s="5"/>
    </row>
    <row r="40" ht="24.4" customHeight="1" spans="1:13">
      <c r="A40" s="5">
        <f>$A$6</f>
        <v>127045</v>
      </c>
      <c r="B40" s="5" t="s">
        <v>418</v>
      </c>
      <c r="C40" s="6">
        <f>VLOOKUP(B40,'22专项清单'!B:C,2,0)</f>
        <v>0</v>
      </c>
      <c r="D40" s="5" t="s">
        <v>418</v>
      </c>
      <c r="E40" s="15" t="s">
        <v>450</v>
      </c>
      <c r="F40" s="15" t="s">
        <v>451</v>
      </c>
      <c r="G40" s="5" t="s">
        <v>452</v>
      </c>
      <c r="H40" s="5" t="s">
        <v>453</v>
      </c>
      <c r="I40" s="5"/>
      <c r="J40" s="5"/>
      <c r="K40" s="5" t="s">
        <v>454</v>
      </c>
      <c r="L40" s="5" t="s">
        <v>455</v>
      </c>
      <c r="M40" s="5"/>
    </row>
    <row r="41" ht="24.4" customHeight="1" spans="1:13">
      <c r="A41" s="5"/>
      <c r="B41" s="5"/>
      <c r="C41" s="6"/>
      <c r="D41" s="5"/>
      <c r="E41" s="15"/>
      <c r="F41" s="15" t="s">
        <v>456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457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458</v>
      </c>
      <c r="F43" s="15" t="s">
        <v>459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5"/>
      <c r="F44" s="15" t="s">
        <v>460</v>
      </c>
      <c r="G44" s="5" t="s">
        <v>486</v>
      </c>
      <c r="H44" s="5" t="s">
        <v>462</v>
      </c>
      <c r="I44" s="5"/>
      <c r="J44" s="5"/>
      <c r="K44" s="5" t="s">
        <v>454</v>
      </c>
      <c r="L44" s="5" t="s">
        <v>468</v>
      </c>
      <c r="M44" s="5"/>
    </row>
    <row r="45" ht="24.4" customHeight="1" spans="1:13">
      <c r="A45" s="5"/>
      <c r="B45" s="5"/>
      <c r="C45" s="6"/>
      <c r="D45" s="5"/>
      <c r="E45" s="15"/>
      <c r="F45" s="15" t="s">
        <v>464</v>
      </c>
      <c r="G45" s="5"/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469</v>
      </c>
      <c r="F46" s="15" t="s">
        <v>470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471</v>
      </c>
      <c r="G47" s="5"/>
      <c r="H47" s="5"/>
      <c r="I47" s="5"/>
      <c r="J47" s="5"/>
      <c r="K47" s="5"/>
      <c r="L47" s="5"/>
      <c r="M47" s="5"/>
    </row>
    <row r="48" ht="24.4" customHeight="1" spans="1:13">
      <c r="A48" s="5"/>
      <c r="B48" s="5"/>
      <c r="C48" s="6"/>
      <c r="D48" s="5"/>
      <c r="E48" s="15"/>
      <c r="F48" s="15" t="s">
        <v>472</v>
      </c>
      <c r="G48" s="5" t="s">
        <v>487</v>
      </c>
      <c r="H48" s="5" t="s">
        <v>482</v>
      </c>
      <c r="I48" s="5"/>
      <c r="J48" s="5"/>
      <c r="K48" s="5" t="s">
        <v>482</v>
      </c>
      <c r="L48" s="5" t="s">
        <v>483</v>
      </c>
      <c r="M48" s="5"/>
    </row>
    <row r="49" ht="24.4" customHeight="1" spans="1:13">
      <c r="A49" s="5"/>
      <c r="B49" s="5"/>
      <c r="C49" s="6"/>
      <c r="D49" s="5"/>
      <c r="E49" s="15"/>
      <c r="F49" s="15" t="s">
        <v>474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475</v>
      </c>
      <c r="F50" s="15" t="s">
        <v>476</v>
      </c>
      <c r="G50" s="5" t="s">
        <v>477</v>
      </c>
      <c r="H50" s="5" t="s">
        <v>485</v>
      </c>
      <c r="I50" s="5"/>
      <c r="J50" s="5"/>
      <c r="K50" s="5" t="s">
        <v>454</v>
      </c>
      <c r="L50" s="5" t="s">
        <v>455</v>
      </c>
      <c r="M50" s="5"/>
    </row>
    <row r="51" ht="24.4" customHeight="1" spans="1:13">
      <c r="A51" s="5">
        <f>$A$6</f>
        <v>127045</v>
      </c>
      <c r="B51" s="5" t="s">
        <v>419</v>
      </c>
      <c r="C51" s="6">
        <f>VLOOKUP(B51,'22专项清单'!B:C,2,0)</f>
        <v>62.46</v>
      </c>
      <c r="D51" s="5" t="s">
        <v>488</v>
      </c>
      <c r="E51" s="15" t="s">
        <v>450</v>
      </c>
      <c r="F51" s="15" t="s">
        <v>451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456</v>
      </c>
      <c r="G52" s="5" t="s">
        <v>489</v>
      </c>
      <c r="H52" s="5" t="s">
        <v>485</v>
      </c>
      <c r="I52" s="5"/>
      <c r="J52" s="5"/>
      <c r="K52" s="5" t="s">
        <v>490</v>
      </c>
      <c r="L52" s="5" t="s">
        <v>468</v>
      </c>
      <c r="M52" s="5"/>
    </row>
    <row r="53" ht="24.4" customHeight="1" spans="1:13">
      <c r="A53" s="5"/>
      <c r="B53" s="5"/>
      <c r="C53" s="6"/>
      <c r="D53" s="5"/>
      <c r="E53" s="15"/>
      <c r="F53" s="15" t="s">
        <v>457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458</v>
      </c>
      <c r="F54" s="15" t="s">
        <v>459</v>
      </c>
      <c r="G54" s="5" t="s">
        <v>491</v>
      </c>
      <c r="H54" s="5" t="s">
        <v>462</v>
      </c>
      <c r="I54" s="5"/>
      <c r="J54" s="5"/>
      <c r="K54" s="5" t="s">
        <v>490</v>
      </c>
      <c r="L54" s="5" t="s">
        <v>468</v>
      </c>
      <c r="M54" s="5"/>
    </row>
    <row r="55" ht="24.4" customHeight="1" spans="1:13">
      <c r="A55" s="5"/>
      <c r="B55" s="5"/>
      <c r="C55" s="6"/>
      <c r="D55" s="5"/>
      <c r="E55" s="15"/>
      <c r="F55" s="15" t="s">
        <v>460</v>
      </c>
      <c r="G55" s="5" t="s">
        <v>492</v>
      </c>
      <c r="H55" s="5" t="s">
        <v>462</v>
      </c>
      <c r="I55" s="5"/>
      <c r="J55" s="5"/>
      <c r="K55" s="5" t="s">
        <v>490</v>
      </c>
      <c r="L55" s="5" t="s">
        <v>468</v>
      </c>
      <c r="M55" s="5"/>
    </row>
    <row r="56" ht="24.4" customHeight="1" spans="1:13">
      <c r="A56" s="5"/>
      <c r="B56" s="5"/>
      <c r="C56" s="6"/>
      <c r="D56" s="5"/>
      <c r="E56" s="15"/>
      <c r="F56" s="15" t="s">
        <v>464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469</v>
      </c>
      <c r="F57" s="15" t="s">
        <v>470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471</v>
      </c>
      <c r="G58" s="5" t="s">
        <v>493</v>
      </c>
      <c r="H58" s="5" t="s">
        <v>482</v>
      </c>
      <c r="I58" s="5"/>
      <c r="J58" s="5"/>
      <c r="K58" s="5" t="s">
        <v>482</v>
      </c>
      <c r="L58" s="5" t="s">
        <v>483</v>
      </c>
      <c r="M58" s="5"/>
    </row>
    <row r="59" ht="24.4" customHeight="1" spans="1:13">
      <c r="A59" s="5"/>
      <c r="B59" s="5"/>
      <c r="C59" s="6"/>
      <c r="D59" s="5"/>
      <c r="E59" s="15"/>
      <c r="F59" s="15" t="s">
        <v>472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474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475</v>
      </c>
      <c r="F61" s="15" t="s">
        <v>476</v>
      </c>
      <c r="G61" s="5" t="s">
        <v>494</v>
      </c>
      <c r="H61" s="5" t="s">
        <v>495</v>
      </c>
      <c r="I61" s="5"/>
      <c r="J61" s="5"/>
      <c r="K61" s="5" t="s">
        <v>490</v>
      </c>
      <c r="L61" s="5" t="s">
        <v>468</v>
      </c>
      <c r="M61" s="5"/>
    </row>
    <row r="62" ht="24.4" customHeight="1" spans="1:13">
      <c r="A62" s="5">
        <f>$A$6</f>
        <v>127045</v>
      </c>
      <c r="B62" s="5" t="s">
        <v>420</v>
      </c>
      <c r="C62" s="6">
        <f>VLOOKUP(B62,'22专项清单'!B:C,2,0)</f>
        <v>0</v>
      </c>
      <c r="D62" s="5" t="s">
        <v>420</v>
      </c>
      <c r="E62" s="15" t="s">
        <v>450</v>
      </c>
      <c r="F62" s="15" t="s">
        <v>451</v>
      </c>
      <c r="G62" s="5" t="s">
        <v>452</v>
      </c>
      <c r="H62" s="5" t="s">
        <v>453</v>
      </c>
      <c r="I62" s="5"/>
      <c r="J62" s="5"/>
      <c r="K62" s="5" t="s">
        <v>496</v>
      </c>
      <c r="L62" s="5" t="s">
        <v>455</v>
      </c>
      <c r="M62" s="5"/>
    </row>
    <row r="63" ht="24.4" customHeight="1" spans="1:13">
      <c r="A63" s="5"/>
      <c r="B63" s="5"/>
      <c r="C63" s="6"/>
      <c r="D63" s="5"/>
      <c r="E63" s="15"/>
      <c r="F63" s="15" t="s">
        <v>456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457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458</v>
      </c>
      <c r="F65" s="15" t="s">
        <v>459</v>
      </c>
      <c r="G65" s="5"/>
      <c r="H65" s="5"/>
      <c r="I65" s="5"/>
      <c r="J65" s="5"/>
      <c r="K65" s="5"/>
      <c r="L65" s="5"/>
      <c r="M65" s="5"/>
    </row>
    <row r="66" ht="24.4" customHeight="1" spans="1:13">
      <c r="A66" s="5"/>
      <c r="B66" s="5"/>
      <c r="C66" s="6"/>
      <c r="D66" s="5"/>
      <c r="E66" s="15"/>
      <c r="F66" s="15" t="s">
        <v>460</v>
      </c>
      <c r="G66" s="5"/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464</v>
      </c>
      <c r="G67" s="5" t="s">
        <v>465</v>
      </c>
      <c r="H67" s="5" t="s">
        <v>466</v>
      </c>
      <c r="I67" s="5"/>
      <c r="J67" s="5"/>
      <c r="K67" s="5" t="s">
        <v>467</v>
      </c>
      <c r="L67" s="5" t="s">
        <v>483</v>
      </c>
      <c r="M67" s="5"/>
    </row>
    <row r="68" ht="24.4" customHeight="1" spans="1:13">
      <c r="A68" s="5"/>
      <c r="B68" s="5"/>
      <c r="C68" s="6"/>
      <c r="D68" s="5"/>
      <c r="E68" s="15" t="s">
        <v>469</v>
      </c>
      <c r="F68" s="15" t="s">
        <v>470</v>
      </c>
      <c r="G68" s="5"/>
      <c r="H68" s="5"/>
      <c r="I68" s="5"/>
      <c r="J68" s="5"/>
      <c r="K68" s="5"/>
      <c r="L68" s="5"/>
      <c r="M68" s="5"/>
    </row>
    <row r="69" ht="24.4" customHeight="1" spans="1:13">
      <c r="A69" s="5"/>
      <c r="B69" s="5"/>
      <c r="C69" s="6"/>
      <c r="D69" s="5"/>
      <c r="E69" s="15"/>
      <c r="F69" s="15" t="s">
        <v>471</v>
      </c>
      <c r="G69" s="5"/>
      <c r="H69" s="5"/>
      <c r="I69" s="5"/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472</v>
      </c>
      <c r="G70" s="5" t="s">
        <v>497</v>
      </c>
      <c r="H70" s="5" t="s">
        <v>482</v>
      </c>
      <c r="I70" s="5"/>
      <c r="J70" s="5"/>
      <c r="K70" s="5" t="s">
        <v>482</v>
      </c>
      <c r="L70" s="5" t="s">
        <v>483</v>
      </c>
      <c r="M70" s="5"/>
    </row>
    <row r="71" ht="24.4" customHeight="1" spans="1:13">
      <c r="A71" s="5"/>
      <c r="B71" s="5"/>
      <c r="C71" s="6"/>
      <c r="D71" s="5"/>
      <c r="E71" s="15"/>
      <c r="F71" s="15" t="s">
        <v>474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475</v>
      </c>
      <c r="F72" s="15" t="s">
        <v>476</v>
      </c>
      <c r="G72" s="5" t="s">
        <v>498</v>
      </c>
      <c r="H72" s="5" t="s">
        <v>453</v>
      </c>
      <c r="I72" s="5"/>
      <c r="J72" s="5"/>
      <c r="K72" s="5" t="s">
        <v>454</v>
      </c>
      <c r="L72" s="5" t="s">
        <v>455</v>
      </c>
      <c r="M72" s="5"/>
    </row>
    <row r="73" ht="24.4" customHeight="1" spans="1:13">
      <c r="A73" s="5">
        <f>$A$6</f>
        <v>127045</v>
      </c>
      <c r="B73" s="5" t="s">
        <v>421</v>
      </c>
      <c r="C73" s="6">
        <f>VLOOKUP(B73,'22专项清单'!B:C,2,0)</f>
        <v>386.81934</v>
      </c>
      <c r="D73" s="5" t="s">
        <v>421</v>
      </c>
      <c r="E73" s="15" t="s">
        <v>450</v>
      </c>
      <c r="F73" s="15" t="s">
        <v>451</v>
      </c>
      <c r="G73" s="5" t="s">
        <v>452</v>
      </c>
      <c r="H73" s="5" t="s">
        <v>462</v>
      </c>
      <c r="I73" s="5"/>
      <c r="J73" s="5"/>
      <c r="K73" s="5" t="s">
        <v>454</v>
      </c>
      <c r="L73" s="5" t="s">
        <v>455</v>
      </c>
      <c r="M73" s="5"/>
    </row>
    <row r="74" ht="24.4" customHeight="1" spans="1:13">
      <c r="A74" s="5"/>
      <c r="B74" s="5"/>
      <c r="C74" s="6"/>
      <c r="D74" s="5"/>
      <c r="E74" s="15"/>
      <c r="F74" s="15" t="s">
        <v>456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457</v>
      </c>
      <c r="G75" s="5"/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458</v>
      </c>
      <c r="F76" s="15" t="s">
        <v>459</v>
      </c>
      <c r="G76" s="5"/>
      <c r="H76" s="5"/>
      <c r="I76" s="5"/>
      <c r="J76" s="5"/>
      <c r="K76" s="5"/>
      <c r="L76" s="5"/>
      <c r="M76" s="5"/>
    </row>
    <row r="77" ht="24.4" customHeight="1" spans="1:13">
      <c r="A77" s="5"/>
      <c r="B77" s="5"/>
      <c r="C77" s="6"/>
      <c r="D77" s="5"/>
      <c r="E77" s="15"/>
      <c r="F77" s="15" t="s">
        <v>460</v>
      </c>
      <c r="G77" s="5"/>
      <c r="H77" s="5"/>
      <c r="I77" s="5"/>
      <c r="J77" s="5"/>
      <c r="K77" s="5"/>
      <c r="L77" s="5"/>
      <c r="M77" s="5"/>
    </row>
    <row r="78" ht="24.4" customHeight="1" spans="1:13">
      <c r="A78" s="5"/>
      <c r="B78" s="5"/>
      <c r="C78" s="6"/>
      <c r="D78" s="5"/>
      <c r="E78" s="15"/>
      <c r="F78" s="15" t="s">
        <v>464</v>
      </c>
      <c r="G78" s="5" t="s">
        <v>499</v>
      </c>
      <c r="H78" s="5" t="s">
        <v>466</v>
      </c>
      <c r="I78" s="5"/>
      <c r="J78" s="5"/>
      <c r="K78" s="5" t="s">
        <v>467</v>
      </c>
      <c r="L78" s="5" t="s">
        <v>468</v>
      </c>
      <c r="M78" s="5"/>
    </row>
    <row r="79" ht="24.4" customHeight="1" spans="1:13">
      <c r="A79" s="5"/>
      <c r="B79" s="5"/>
      <c r="C79" s="6"/>
      <c r="D79" s="5"/>
      <c r="E79" s="15" t="s">
        <v>469</v>
      </c>
      <c r="F79" s="15" t="s">
        <v>470</v>
      </c>
      <c r="G79" s="5"/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471</v>
      </c>
      <c r="G80" s="5" t="s">
        <v>500</v>
      </c>
      <c r="H80" s="5" t="s">
        <v>462</v>
      </c>
      <c r="I80" s="5"/>
      <c r="J80" s="5"/>
      <c r="K80" s="5" t="s">
        <v>454</v>
      </c>
      <c r="L80" s="5" t="s">
        <v>468</v>
      </c>
      <c r="M80" s="5"/>
    </row>
    <row r="81" ht="24.4" customHeight="1" spans="1:13">
      <c r="A81" s="5"/>
      <c r="B81" s="5"/>
      <c r="C81" s="6"/>
      <c r="D81" s="5"/>
      <c r="E81" s="15"/>
      <c r="F81" s="15" t="s">
        <v>472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474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475</v>
      </c>
      <c r="F83" s="15" t="s">
        <v>476</v>
      </c>
      <c r="G83" s="5" t="s">
        <v>501</v>
      </c>
      <c r="H83" s="5" t="s">
        <v>502</v>
      </c>
      <c r="I83" s="5"/>
      <c r="J83" s="5"/>
      <c r="K83" s="5" t="s">
        <v>454</v>
      </c>
      <c r="L83" s="5" t="s">
        <v>455</v>
      </c>
      <c r="M83" s="5"/>
    </row>
    <row r="84" ht="24.4" customHeight="1" spans="1:13">
      <c r="A84" s="5">
        <f>$A$6</f>
        <v>127045</v>
      </c>
      <c r="B84" s="5" t="s">
        <v>422</v>
      </c>
      <c r="C84" s="6">
        <f>VLOOKUP(B84,'22专项清单'!B:C,2,0)</f>
        <v>0</v>
      </c>
      <c r="D84" s="5" t="s">
        <v>422</v>
      </c>
      <c r="E84" s="15" t="s">
        <v>450</v>
      </c>
      <c r="F84" s="15" t="s">
        <v>451</v>
      </c>
      <c r="G84" s="5" t="s">
        <v>452</v>
      </c>
      <c r="H84" s="5" t="s">
        <v>453</v>
      </c>
      <c r="I84" s="5"/>
      <c r="J84" s="5"/>
      <c r="K84" s="5" t="s">
        <v>454</v>
      </c>
      <c r="L84" s="5" t="s">
        <v>455</v>
      </c>
      <c r="M84" s="5"/>
    </row>
    <row r="85" ht="24.4" customHeight="1" spans="1:13">
      <c r="A85" s="5"/>
      <c r="B85" s="5"/>
      <c r="C85" s="6"/>
      <c r="D85" s="5"/>
      <c r="E85" s="15"/>
      <c r="F85" s="15" t="s">
        <v>456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457</v>
      </c>
      <c r="G86" s="5"/>
      <c r="H86" s="5"/>
      <c r="I86" s="5"/>
      <c r="J86" s="5"/>
      <c r="K86" s="5"/>
      <c r="L86" s="5"/>
      <c r="M86" s="5"/>
    </row>
    <row r="87" ht="24.4" customHeight="1" spans="1:13">
      <c r="A87" s="5"/>
      <c r="B87" s="5"/>
      <c r="C87" s="6"/>
      <c r="D87" s="5"/>
      <c r="E87" s="15" t="s">
        <v>458</v>
      </c>
      <c r="F87" s="15" t="s">
        <v>459</v>
      </c>
      <c r="G87" s="5" t="s">
        <v>503</v>
      </c>
      <c r="H87" s="5" t="s">
        <v>504</v>
      </c>
      <c r="I87" s="5"/>
      <c r="J87" s="5"/>
      <c r="K87" s="5" t="s">
        <v>505</v>
      </c>
      <c r="L87" s="5" t="s">
        <v>483</v>
      </c>
      <c r="M87" s="5"/>
    </row>
    <row r="88" ht="24.4" customHeight="1" spans="1:13">
      <c r="A88" s="5"/>
      <c r="B88" s="5"/>
      <c r="C88" s="6"/>
      <c r="D88" s="5"/>
      <c r="E88" s="15"/>
      <c r="F88" s="15" t="s">
        <v>460</v>
      </c>
      <c r="G88" s="5"/>
      <c r="H88" s="5"/>
      <c r="I88" s="5"/>
      <c r="J88" s="5"/>
      <c r="K88" s="5"/>
      <c r="L88" s="5"/>
      <c r="M88" s="5"/>
    </row>
    <row r="89" ht="24.4" customHeight="1" spans="1:13">
      <c r="A89" s="5"/>
      <c r="B89" s="5"/>
      <c r="C89" s="6"/>
      <c r="D89" s="5"/>
      <c r="E89" s="15"/>
      <c r="F89" s="15" t="s">
        <v>464</v>
      </c>
      <c r="G89" s="5"/>
      <c r="H89" s="5"/>
      <c r="I89" s="5"/>
      <c r="J89" s="5"/>
      <c r="K89" s="5"/>
      <c r="L89" s="5"/>
      <c r="M89" s="5"/>
    </row>
    <row r="90" ht="24.4" customHeight="1" spans="1:13">
      <c r="A90" s="5"/>
      <c r="B90" s="5"/>
      <c r="C90" s="6"/>
      <c r="D90" s="5"/>
      <c r="E90" s="15" t="s">
        <v>469</v>
      </c>
      <c r="F90" s="15" t="s">
        <v>470</v>
      </c>
      <c r="G90" s="5"/>
      <c r="H90" s="5"/>
      <c r="I90" s="5"/>
      <c r="J90" s="5"/>
      <c r="K90" s="5"/>
      <c r="L90" s="5"/>
      <c r="M90" s="5"/>
    </row>
    <row r="91" ht="24.4" customHeight="1" spans="1:13">
      <c r="A91" s="5"/>
      <c r="B91" s="5"/>
      <c r="C91" s="6"/>
      <c r="D91" s="5"/>
      <c r="E91" s="15"/>
      <c r="F91" s="15" t="s">
        <v>471</v>
      </c>
      <c r="G91" s="5" t="s">
        <v>506</v>
      </c>
      <c r="H91" s="5" t="s">
        <v>482</v>
      </c>
      <c r="I91" s="5"/>
      <c r="J91" s="5"/>
      <c r="K91" s="5" t="s">
        <v>482</v>
      </c>
      <c r="L91" s="5" t="s">
        <v>483</v>
      </c>
      <c r="M91" s="5"/>
    </row>
    <row r="92" ht="24.4" customHeight="1" spans="1:13">
      <c r="A92" s="5"/>
      <c r="B92" s="5"/>
      <c r="C92" s="6"/>
      <c r="D92" s="5"/>
      <c r="E92" s="15"/>
      <c r="F92" s="15" t="s">
        <v>472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474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475</v>
      </c>
      <c r="F94" s="15" t="s">
        <v>476</v>
      </c>
      <c r="G94" s="5" t="s">
        <v>477</v>
      </c>
      <c r="H94" s="5" t="s">
        <v>485</v>
      </c>
      <c r="I94" s="5"/>
      <c r="J94" s="5"/>
      <c r="K94" s="5" t="s">
        <v>454</v>
      </c>
      <c r="L94" s="5" t="s">
        <v>455</v>
      </c>
      <c r="M94" s="5"/>
    </row>
    <row r="95" ht="24.4" customHeight="1" spans="1:13">
      <c r="A95" s="5">
        <f>$A$6</f>
        <v>127045</v>
      </c>
      <c r="B95" s="5" t="s">
        <v>423</v>
      </c>
      <c r="C95" s="6">
        <f>VLOOKUP(B95,'22专项清单'!B:C,2,0)</f>
        <v>0</v>
      </c>
      <c r="D95" s="5" t="s">
        <v>423</v>
      </c>
      <c r="E95" s="15" t="s">
        <v>450</v>
      </c>
      <c r="F95" s="15" t="s">
        <v>451</v>
      </c>
      <c r="G95" s="5" t="s">
        <v>452</v>
      </c>
      <c r="H95" s="5" t="s">
        <v>453</v>
      </c>
      <c r="I95" s="5"/>
      <c r="J95" s="5"/>
      <c r="K95" s="5" t="s">
        <v>454</v>
      </c>
      <c r="L95" s="5" t="s">
        <v>455</v>
      </c>
      <c r="M95" s="5"/>
    </row>
    <row r="96" ht="24.4" customHeight="1" spans="1:13">
      <c r="A96" s="5"/>
      <c r="B96" s="5"/>
      <c r="C96" s="6"/>
      <c r="D96" s="5"/>
      <c r="E96" s="15"/>
      <c r="F96" s="15" t="s">
        <v>456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457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458</v>
      </c>
      <c r="F98" s="15" t="s">
        <v>459</v>
      </c>
      <c r="G98" s="5" t="s">
        <v>507</v>
      </c>
      <c r="H98" s="5" t="s">
        <v>508</v>
      </c>
      <c r="I98" s="5"/>
      <c r="J98" s="5"/>
      <c r="K98" s="5" t="s">
        <v>505</v>
      </c>
      <c r="L98" s="5" t="s">
        <v>468</v>
      </c>
      <c r="M98" s="5"/>
    </row>
    <row r="99" ht="24.4" customHeight="1" spans="1:13">
      <c r="A99" s="5"/>
      <c r="B99" s="5"/>
      <c r="C99" s="6"/>
      <c r="D99" s="5"/>
      <c r="E99" s="15"/>
      <c r="F99" s="15" t="s">
        <v>460</v>
      </c>
      <c r="G99" s="5"/>
      <c r="H99" s="5"/>
      <c r="I99" s="5"/>
      <c r="J99" s="5"/>
      <c r="K99" s="5"/>
      <c r="L99" s="5"/>
      <c r="M99" s="5"/>
    </row>
    <row r="100" ht="24.4" customHeight="1" spans="1:13">
      <c r="A100" s="5"/>
      <c r="B100" s="5"/>
      <c r="C100" s="6"/>
      <c r="D100" s="5"/>
      <c r="E100" s="15"/>
      <c r="F100" s="15" t="s">
        <v>464</v>
      </c>
      <c r="G100" s="5"/>
      <c r="H100" s="5"/>
      <c r="I100" s="5"/>
      <c r="J100" s="5"/>
      <c r="K100" s="5"/>
      <c r="L100" s="5"/>
      <c r="M100" s="5"/>
    </row>
    <row r="101" ht="24.4" customHeight="1" spans="1:13">
      <c r="A101" s="5"/>
      <c r="B101" s="5"/>
      <c r="C101" s="6"/>
      <c r="D101" s="5"/>
      <c r="E101" s="15" t="s">
        <v>469</v>
      </c>
      <c r="F101" s="15" t="s">
        <v>470</v>
      </c>
      <c r="G101" s="5"/>
      <c r="H101" s="5"/>
      <c r="I101" s="5"/>
      <c r="J101" s="5"/>
      <c r="K101" s="5"/>
      <c r="L101" s="5"/>
      <c r="M101" s="5"/>
    </row>
    <row r="102" ht="24.4" customHeight="1" spans="1:13">
      <c r="A102" s="5"/>
      <c r="B102" s="5"/>
      <c r="C102" s="6"/>
      <c r="D102" s="5"/>
      <c r="E102" s="15"/>
      <c r="F102" s="15" t="s">
        <v>471</v>
      </c>
      <c r="G102" s="5" t="s">
        <v>509</v>
      </c>
      <c r="H102" s="5" t="s">
        <v>453</v>
      </c>
      <c r="I102" s="5"/>
      <c r="J102" s="5"/>
      <c r="K102" s="5" t="s">
        <v>454</v>
      </c>
      <c r="L102" s="5" t="s">
        <v>455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472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474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475</v>
      </c>
      <c r="F105" s="15" t="s">
        <v>476</v>
      </c>
      <c r="G105" s="5" t="s">
        <v>477</v>
      </c>
      <c r="H105" s="5" t="s">
        <v>495</v>
      </c>
      <c r="I105" s="5"/>
      <c r="J105" s="5"/>
      <c r="K105" s="5" t="s">
        <v>454</v>
      </c>
      <c r="L105" s="5" t="s">
        <v>455</v>
      </c>
      <c r="M105" s="5"/>
    </row>
    <row r="106" ht="24.4" customHeight="1" spans="1:13">
      <c r="A106" s="5">
        <f>$A$6</f>
        <v>127045</v>
      </c>
      <c r="B106" s="5" t="s">
        <v>424</v>
      </c>
      <c r="C106" s="6">
        <f>VLOOKUP(B106,'22专项清单'!B:C,2,0)</f>
        <v>0</v>
      </c>
      <c r="D106" s="5" t="s">
        <v>510</v>
      </c>
      <c r="E106" s="15" t="s">
        <v>450</v>
      </c>
      <c r="F106" s="15" t="s">
        <v>451</v>
      </c>
      <c r="G106" s="5" t="s">
        <v>511</v>
      </c>
      <c r="H106" s="5" t="s">
        <v>453</v>
      </c>
      <c r="I106" s="5"/>
      <c r="J106" s="5"/>
      <c r="K106" s="5" t="s">
        <v>454</v>
      </c>
      <c r="L106" s="5" t="s">
        <v>455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456</v>
      </c>
      <c r="G107" s="5" t="s">
        <v>512</v>
      </c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457</v>
      </c>
      <c r="G108" s="5" t="s">
        <v>512</v>
      </c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458</v>
      </c>
      <c r="F109" s="15" t="s">
        <v>459</v>
      </c>
      <c r="G109" s="5" t="s">
        <v>512</v>
      </c>
      <c r="H109" s="5"/>
      <c r="I109" s="5"/>
      <c r="J109" s="5"/>
      <c r="K109" s="5"/>
      <c r="L109" s="5"/>
      <c r="M109" s="5"/>
    </row>
    <row r="110" ht="24.4" customHeight="1" spans="1:13">
      <c r="A110" s="5"/>
      <c r="B110" s="5"/>
      <c r="C110" s="6"/>
      <c r="D110" s="5"/>
      <c r="E110" s="15"/>
      <c r="F110" s="15" t="s">
        <v>460</v>
      </c>
      <c r="G110" s="5" t="s">
        <v>513</v>
      </c>
      <c r="H110" s="5" t="s">
        <v>453</v>
      </c>
      <c r="I110" s="5"/>
      <c r="J110" s="5"/>
      <c r="K110" s="5" t="s">
        <v>454</v>
      </c>
      <c r="L110" s="5" t="s">
        <v>455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464</v>
      </c>
      <c r="G111" s="5" t="s">
        <v>514</v>
      </c>
      <c r="H111" s="5" t="s">
        <v>466</v>
      </c>
      <c r="I111" s="5"/>
      <c r="J111" s="5"/>
      <c r="K111" s="5" t="s">
        <v>467</v>
      </c>
      <c r="L111" s="5" t="s">
        <v>468</v>
      </c>
      <c r="M111" s="5"/>
    </row>
    <row r="112" ht="24.4" customHeight="1" spans="1:13">
      <c r="A112" s="5"/>
      <c r="B112" s="5"/>
      <c r="C112" s="6"/>
      <c r="D112" s="5"/>
      <c r="E112" s="15" t="s">
        <v>469</v>
      </c>
      <c r="F112" s="15" t="s">
        <v>470</v>
      </c>
      <c r="G112" s="5" t="s">
        <v>512</v>
      </c>
      <c r="H112" s="5"/>
      <c r="I112" s="5"/>
      <c r="J112" s="5"/>
      <c r="K112" s="5"/>
      <c r="L112" s="5"/>
      <c r="M112" s="5"/>
    </row>
    <row r="113" ht="24.4" customHeight="1" spans="1:13">
      <c r="A113" s="5"/>
      <c r="B113" s="5"/>
      <c r="C113" s="6"/>
      <c r="D113" s="5"/>
      <c r="E113" s="15"/>
      <c r="F113" s="15" t="s">
        <v>471</v>
      </c>
      <c r="G113" s="5" t="s">
        <v>512</v>
      </c>
      <c r="H113" s="5"/>
      <c r="I113" s="5"/>
      <c r="J113" s="5"/>
      <c r="K113" s="5"/>
      <c r="L113" s="5"/>
      <c r="M113" s="5"/>
    </row>
    <row r="114" ht="24.4" customHeight="1" spans="1:13">
      <c r="A114" s="5"/>
      <c r="B114" s="5"/>
      <c r="C114" s="6"/>
      <c r="D114" s="5"/>
      <c r="E114" s="15"/>
      <c r="F114" s="15" t="s">
        <v>472</v>
      </c>
      <c r="G114" s="5" t="s">
        <v>515</v>
      </c>
      <c r="H114" s="5" t="s">
        <v>516</v>
      </c>
      <c r="I114" s="5"/>
      <c r="J114" s="5"/>
      <c r="K114" s="5" t="s">
        <v>517</v>
      </c>
      <c r="L114" s="5" t="s">
        <v>468</v>
      </c>
      <c r="M114" s="5"/>
    </row>
    <row r="115" ht="24.4" customHeight="1" spans="1:13">
      <c r="A115" s="5"/>
      <c r="B115" s="5"/>
      <c r="C115" s="6"/>
      <c r="D115" s="5"/>
      <c r="E115" s="15"/>
      <c r="F115" s="15" t="s">
        <v>474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475</v>
      </c>
      <c r="F116" s="15" t="s">
        <v>476</v>
      </c>
      <c r="G116" s="5" t="s">
        <v>477</v>
      </c>
      <c r="H116" s="5" t="s">
        <v>453</v>
      </c>
      <c r="I116" s="5"/>
      <c r="J116" s="5"/>
      <c r="K116" s="5" t="s">
        <v>454</v>
      </c>
      <c r="L116" s="5" t="s">
        <v>455</v>
      </c>
      <c r="M116" s="5"/>
    </row>
    <row r="117" ht="24.4" customHeight="1" spans="1:13">
      <c r="A117" s="5">
        <f>$A$6</f>
        <v>127045</v>
      </c>
      <c r="B117" s="5" t="s">
        <v>425</v>
      </c>
      <c r="C117" s="6">
        <f>VLOOKUP(B117,'22专项清单'!B:C,2,0)</f>
        <v>0</v>
      </c>
      <c r="D117" s="5" t="s">
        <v>425</v>
      </c>
      <c r="E117" s="15" t="s">
        <v>450</v>
      </c>
      <c r="F117" s="15" t="s">
        <v>451</v>
      </c>
      <c r="G117" s="5" t="s">
        <v>452</v>
      </c>
      <c r="H117" s="5" t="s">
        <v>453</v>
      </c>
      <c r="I117" s="5"/>
      <c r="J117" s="5"/>
      <c r="K117" s="5" t="s">
        <v>454</v>
      </c>
      <c r="L117" s="5" t="s">
        <v>455</v>
      </c>
      <c r="M117" s="5"/>
    </row>
    <row r="118" ht="24.4" customHeight="1" spans="1:13">
      <c r="A118" s="5"/>
      <c r="B118" s="5"/>
      <c r="C118" s="6"/>
      <c r="D118" s="5"/>
      <c r="E118" s="15"/>
      <c r="F118" s="15" t="s">
        <v>456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457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458</v>
      </c>
      <c r="F120" s="15" t="s">
        <v>459</v>
      </c>
      <c r="G120" s="5"/>
      <c r="H120" s="5"/>
      <c r="I120" s="5"/>
      <c r="J120" s="5"/>
      <c r="K120" s="5"/>
      <c r="L120" s="5"/>
      <c r="M120" s="5"/>
    </row>
    <row r="121" ht="24.4" customHeight="1" spans="1:13">
      <c r="A121" s="5"/>
      <c r="B121" s="5"/>
      <c r="C121" s="6"/>
      <c r="D121" s="5"/>
      <c r="E121" s="15"/>
      <c r="F121" s="15" t="s">
        <v>460</v>
      </c>
      <c r="G121" s="5" t="s">
        <v>518</v>
      </c>
      <c r="H121" s="5" t="s">
        <v>495</v>
      </c>
      <c r="I121" s="5"/>
      <c r="J121" s="5"/>
      <c r="K121" s="5" t="s">
        <v>454</v>
      </c>
      <c r="L121" s="5" t="s">
        <v>455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464</v>
      </c>
      <c r="G122" s="5"/>
      <c r="H122" s="5"/>
      <c r="I122" s="5"/>
      <c r="J122" s="5"/>
      <c r="K122" s="5"/>
      <c r="L122" s="5"/>
      <c r="M122" s="5"/>
    </row>
    <row r="123" ht="24.4" customHeight="1" spans="1:13">
      <c r="A123" s="5"/>
      <c r="B123" s="5"/>
      <c r="C123" s="6"/>
      <c r="D123" s="5"/>
      <c r="E123" s="15" t="s">
        <v>469</v>
      </c>
      <c r="F123" s="15" t="s">
        <v>470</v>
      </c>
      <c r="G123" s="5"/>
      <c r="H123" s="5"/>
      <c r="I123" s="5"/>
      <c r="J123" s="5"/>
      <c r="K123" s="5"/>
      <c r="L123" s="5"/>
      <c r="M123" s="5"/>
    </row>
    <row r="124" ht="24.4" customHeight="1" spans="1:13">
      <c r="A124" s="5"/>
      <c r="B124" s="5"/>
      <c r="C124" s="6"/>
      <c r="D124" s="5"/>
      <c r="E124" s="15"/>
      <c r="F124" s="15" t="s">
        <v>471</v>
      </c>
      <c r="G124" s="5" t="s">
        <v>519</v>
      </c>
      <c r="H124" s="5" t="s">
        <v>502</v>
      </c>
      <c r="I124" s="5"/>
      <c r="J124" s="5"/>
      <c r="K124" s="5" t="s">
        <v>454</v>
      </c>
      <c r="L124" s="5" t="s">
        <v>455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472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474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475</v>
      </c>
      <c r="F127" s="15" t="s">
        <v>476</v>
      </c>
      <c r="G127" s="5" t="s">
        <v>520</v>
      </c>
      <c r="H127" s="5" t="s">
        <v>485</v>
      </c>
      <c r="I127" s="5"/>
      <c r="J127" s="5"/>
      <c r="K127" s="5" t="s">
        <v>454</v>
      </c>
      <c r="L127" s="5" t="s">
        <v>455</v>
      </c>
      <c r="M127" s="5"/>
    </row>
    <row r="128" ht="24.4" customHeight="1" spans="1:13">
      <c r="A128" s="5">
        <f>$A$6</f>
        <v>127045</v>
      </c>
      <c r="B128" s="5" t="s">
        <v>426</v>
      </c>
      <c r="C128" s="6">
        <f>VLOOKUP(B128,'22专项清单'!B:C,2,0)</f>
        <v>1.52</v>
      </c>
      <c r="D128" s="5" t="s">
        <v>426</v>
      </c>
      <c r="E128" s="15" t="s">
        <v>450</v>
      </c>
      <c r="F128" s="15" t="s">
        <v>451</v>
      </c>
      <c r="G128" s="5" t="s">
        <v>452</v>
      </c>
      <c r="H128" s="5" t="s">
        <v>453</v>
      </c>
      <c r="I128" s="5"/>
      <c r="J128" s="5"/>
      <c r="K128" s="5" t="s">
        <v>454</v>
      </c>
      <c r="L128" s="5" t="s">
        <v>455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456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457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458</v>
      </c>
      <c r="F131" s="15" t="s">
        <v>459</v>
      </c>
      <c r="G131" s="5"/>
      <c r="H131" s="5"/>
      <c r="I131" s="5"/>
      <c r="J131" s="5"/>
      <c r="K131" s="5"/>
      <c r="L131" s="5"/>
      <c r="M131" s="5"/>
    </row>
    <row r="132" ht="24.4" customHeight="1" spans="1:13">
      <c r="A132" s="5"/>
      <c r="B132" s="5"/>
      <c r="C132" s="6"/>
      <c r="D132" s="5"/>
      <c r="E132" s="15"/>
      <c r="F132" s="15" t="s">
        <v>460</v>
      </c>
      <c r="G132" s="5" t="s">
        <v>521</v>
      </c>
      <c r="H132" s="5" t="s">
        <v>502</v>
      </c>
      <c r="I132" s="5"/>
      <c r="J132" s="5"/>
      <c r="K132" s="5" t="s">
        <v>454</v>
      </c>
      <c r="L132" s="5" t="s">
        <v>455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464</v>
      </c>
      <c r="G133" s="5"/>
      <c r="H133" s="5"/>
      <c r="I133" s="5"/>
      <c r="J133" s="5"/>
      <c r="K133" s="5"/>
      <c r="L133" s="5"/>
      <c r="M133" s="5"/>
    </row>
    <row r="134" ht="24.4" customHeight="1" spans="1:13">
      <c r="A134" s="5"/>
      <c r="B134" s="5"/>
      <c r="C134" s="6"/>
      <c r="D134" s="5"/>
      <c r="E134" s="15" t="s">
        <v>469</v>
      </c>
      <c r="F134" s="15" t="s">
        <v>470</v>
      </c>
      <c r="G134" s="5"/>
      <c r="H134" s="5"/>
      <c r="I134" s="5"/>
      <c r="J134" s="5"/>
      <c r="K134" s="5"/>
      <c r="L134" s="5"/>
      <c r="M134" s="5"/>
    </row>
    <row r="135" ht="24.4" customHeight="1" spans="1:13">
      <c r="A135" s="5"/>
      <c r="B135" s="5"/>
      <c r="C135" s="6"/>
      <c r="D135" s="5"/>
      <c r="E135" s="15"/>
      <c r="F135" s="15" t="s">
        <v>471</v>
      </c>
      <c r="G135" s="5" t="s">
        <v>522</v>
      </c>
      <c r="H135" s="5" t="s">
        <v>485</v>
      </c>
      <c r="I135" s="5"/>
      <c r="J135" s="5"/>
      <c r="K135" s="5" t="s">
        <v>454</v>
      </c>
      <c r="L135" s="5" t="s">
        <v>455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472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474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475</v>
      </c>
      <c r="F138" s="15" t="s">
        <v>476</v>
      </c>
      <c r="G138" s="5" t="s">
        <v>523</v>
      </c>
      <c r="H138" s="5" t="s">
        <v>485</v>
      </c>
      <c r="I138" s="5"/>
      <c r="J138" s="5"/>
      <c r="K138" s="5" t="s">
        <v>454</v>
      </c>
      <c r="L138" s="5" t="s">
        <v>455</v>
      </c>
      <c r="M138" s="5"/>
    </row>
    <row r="139" ht="24.4" customHeight="1" spans="1:13">
      <c r="A139" s="5">
        <f>$A$6</f>
        <v>127045</v>
      </c>
      <c r="B139" s="5" t="s">
        <v>427</v>
      </c>
      <c r="C139" s="6">
        <f>VLOOKUP(B139,'22专项清单'!B:C,2,0)</f>
        <v>0</v>
      </c>
      <c r="D139" s="5" t="s">
        <v>427</v>
      </c>
      <c r="E139" s="15" t="s">
        <v>450</v>
      </c>
      <c r="F139" s="15" t="s">
        <v>451</v>
      </c>
      <c r="G139" s="5" t="s">
        <v>452</v>
      </c>
      <c r="H139" s="5" t="s">
        <v>453</v>
      </c>
      <c r="I139" s="5"/>
      <c r="J139" s="5"/>
      <c r="K139" s="5" t="s">
        <v>454</v>
      </c>
      <c r="L139" s="5" t="s">
        <v>455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456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457</v>
      </c>
      <c r="G141" s="5"/>
      <c r="H141" s="5"/>
      <c r="I141" s="5"/>
      <c r="J141" s="5"/>
      <c r="K141" s="5"/>
      <c r="L141" s="5"/>
      <c r="M141" s="5"/>
    </row>
    <row r="142" ht="24.4" customHeight="1" spans="1:13">
      <c r="A142" s="5"/>
      <c r="B142" s="5"/>
      <c r="C142" s="6"/>
      <c r="D142" s="5"/>
      <c r="E142" s="15" t="s">
        <v>458</v>
      </c>
      <c r="F142" s="15" t="s">
        <v>459</v>
      </c>
      <c r="G142" s="5"/>
      <c r="H142" s="5"/>
      <c r="I142" s="5"/>
      <c r="J142" s="5"/>
      <c r="K142" s="5"/>
      <c r="L142" s="5"/>
      <c r="M142" s="5"/>
    </row>
    <row r="143" ht="24.4" customHeight="1" spans="1:13">
      <c r="A143" s="5"/>
      <c r="B143" s="5"/>
      <c r="C143" s="6"/>
      <c r="D143" s="5"/>
      <c r="E143" s="15"/>
      <c r="F143" s="15" t="s">
        <v>460</v>
      </c>
      <c r="G143" s="5" t="s">
        <v>524</v>
      </c>
      <c r="H143" s="5" t="s">
        <v>525</v>
      </c>
      <c r="I143" s="5"/>
      <c r="J143" s="5"/>
      <c r="K143" s="5" t="s">
        <v>525</v>
      </c>
      <c r="L143" s="5" t="s">
        <v>483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464</v>
      </c>
      <c r="G144" s="5"/>
      <c r="H144" s="5"/>
      <c r="I144" s="5"/>
      <c r="J144" s="5"/>
      <c r="K144" s="5"/>
      <c r="L144" s="5"/>
      <c r="M144" s="5"/>
    </row>
    <row r="145" ht="24.4" customHeight="1" spans="1:13">
      <c r="A145" s="5"/>
      <c r="B145" s="5"/>
      <c r="C145" s="6"/>
      <c r="D145" s="5"/>
      <c r="E145" s="15" t="s">
        <v>469</v>
      </c>
      <c r="F145" s="15" t="s">
        <v>470</v>
      </c>
      <c r="G145" s="5"/>
      <c r="H145" s="5"/>
      <c r="I145" s="5"/>
      <c r="J145" s="5"/>
      <c r="K145" s="5"/>
      <c r="L145" s="5"/>
      <c r="M145" s="5"/>
    </row>
    <row r="146" ht="24.4" customHeight="1" spans="1:13">
      <c r="A146" s="5"/>
      <c r="B146" s="5"/>
      <c r="C146" s="6"/>
      <c r="D146" s="5"/>
      <c r="E146" s="15"/>
      <c r="F146" s="15" t="s">
        <v>471</v>
      </c>
      <c r="G146" s="5" t="s">
        <v>526</v>
      </c>
      <c r="H146" s="5" t="s">
        <v>482</v>
      </c>
      <c r="I146" s="5"/>
      <c r="J146" s="5"/>
      <c r="K146" s="5" t="s">
        <v>482</v>
      </c>
      <c r="L146" s="5" t="s">
        <v>483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472</v>
      </c>
      <c r="G147" s="5"/>
      <c r="H147" s="5"/>
      <c r="I147" s="5"/>
      <c r="J147" s="5"/>
      <c r="K147" s="5"/>
      <c r="L147" s="5"/>
      <c r="M147" s="5"/>
    </row>
    <row r="148" ht="24.4" customHeight="1" spans="1:13">
      <c r="A148" s="5"/>
      <c r="B148" s="5"/>
      <c r="C148" s="6"/>
      <c r="D148" s="5"/>
      <c r="E148" s="15"/>
      <c r="F148" s="15" t="s">
        <v>474</v>
      </c>
      <c r="G148" s="5"/>
      <c r="H148" s="5"/>
      <c r="I148" s="5"/>
      <c r="J148" s="5"/>
      <c r="K148" s="5"/>
      <c r="L148" s="5"/>
      <c r="M148" s="5"/>
    </row>
    <row r="149" ht="24.4" customHeight="1" spans="1:13">
      <c r="A149" s="5"/>
      <c r="B149" s="5"/>
      <c r="C149" s="6"/>
      <c r="D149" s="5"/>
      <c r="E149" s="15" t="s">
        <v>475</v>
      </c>
      <c r="F149" s="15" t="s">
        <v>476</v>
      </c>
      <c r="G149" s="5" t="s">
        <v>523</v>
      </c>
      <c r="H149" s="5" t="s">
        <v>485</v>
      </c>
      <c r="I149" s="5"/>
      <c r="J149" s="5"/>
      <c r="K149" s="5" t="s">
        <v>454</v>
      </c>
      <c r="L149" s="5" t="s">
        <v>455</v>
      </c>
      <c r="M149" s="5"/>
    </row>
    <row r="150" ht="24.4" customHeight="1" spans="1:13">
      <c r="A150" s="5">
        <f>$A$6</f>
        <v>127045</v>
      </c>
      <c r="B150" s="5" t="s">
        <v>428</v>
      </c>
      <c r="C150" s="6">
        <f>VLOOKUP(B150,'22专项清单'!B:C,2,0)</f>
        <v>0</v>
      </c>
      <c r="D150" s="5" t="s">
        <v>527</v>
      </c>
      <c r="E150" s="15" t="s">
        <v>450</v>
      </c>
      <c r="F150" s="15" t="s">
        <v>451</v>
      </c>
      <c r="G150" s="5" t="s">
        <v>452</v>
      </c>
      <c r="H150" s="5" t="s">
        <v>453</v>
      </c>
      <c r="I150" s="5"/>
      <c r="J150" s="5"/>
      <c r="K150" s="5" t="s">
        <v>454</v>
      </c>
      <c r="L150" s="5" t="s">
        <v>455</v>
      </c>
      <c r="M150" s="5"/>
    </row>
    <row r="151" ht="24.4" customHeight="1" spans="1:13">
      <c r="A151" s="5"/>
      <c r="B151" s="5"/>
      <c r="C151" s="6"/>
      <c r="D151" s="5"/>
      <c r="E151" s="15"/>
      <c r="F151" s="15" t="s">
        <v>456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/>
      <c r="B152" s="5"/>
      <c r="C152" s="6"/>
      <c r="D152" s="5"/>
      <c r="E152" s="15"/>
      <c r="F152" s="15" t="s">
        <v>457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 t="s">
        <v>458</v>
      </c>
      <c r="F153" s="15" t="s">
        <v>459</v>
      </c>
      <c r="G153" s="5" t="s">
        <v>528</v>
      </c>
      <c r="H153" s="5" t="s">
        <v>508</v>
      </c>
      <c r="I153" s="5"/>
      <c r="J153" s="5"/>
      <c r="K153" s="5" t="s">
        <v>505</v>
      </c>
      <c r="L153" s="5" t="s">
        <v>468</v>
      </c>
      <c r="M153" s="5"/>
    </row>
    <row r="154" ht="24.4" customHeight="1" spans="1:13">
      <c r="A154" s="5"/>
      <c r="B154" s="5"/>
      <c r="C154" s="6"/>
      <c r="D154" s="5"/>
      <c r="E154" s="15"/>
      <c r="F154" s="15" t="s">
        <v>460</v>
      </c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/>
      <c r="F155" s="15" t="s">
        <v>464</v>
      </c>
      <c r="G155" s="5"/>
      <c r="H155" s="5"/>
      <c r="I155" s="5"/>
      <c r="J155" s="5"/>
      <c r="K155" s="5"/>
      <c r="L155" s="5"/>
      <c r="M155" s="5"/>
    </row>
    <row r="156" ht="24.4" customHeight="1" spans="1:13">
      <c r="A156" s="5"/>
      <c r="B156" s="5"/>
      <c r="C156" s="6"/>
      <c r="D156" s="5"/>
      <c r="E156" s="15" t="s">
        <v>469</v>
      </c>
      <c r="F156" s="15" t="s">
        <v>470</v>
      </c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471</v>
      </c>
      <c r="G157" s="5" t="s">
        <v>529</v>
      </c>
      <c r="H157" s="5" t="s">
        <v>482</v>
      </c>
      <c r="I157" s="5"/>
      <c r="J157" s="5"/>
      <c r="K157" s="5" t="s">
        <v>482</v>
      </c>
      <c r="L157" s="5" t="s">
        <v>483</v>
      </c>
      <c r="M157" s="5"/>
    </row>
    <row r="158" ht="24.4" customHeight="1" spans="1:13">
      <c r="A158" s="5"/>
      <c r="B158" s="5"/>
      <c r="C158" s="6"/>
      <c r="D158" s="5"/>
      <c r="E158" s="15"/>
      <c r="F158" s="15" t="s">
        <v>472</v>
      </c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/>
      <c r="F159" s="15" t="s">
        <v>474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 t="s">
        <v>475</v>
      </c>
      <c r="F160" s="15" t="s">
        <v>476</v>
      </c>
      <c r="G160" s="5" t="s">
        <v>477</v>
      </c>
      <c r="H160" s="5" t="s">
        <v>495</v>
      </c>
      <c r="I160" s="5"/>
      <c r="J160" s="5"/>
      <c r="K160" s="5" t="s">
        <v>454</v>
      </c>
      <c r="L160" s="5" t="s">
        <v>483</v>
      </c>
      <c r="M160" s="5"/>
    </row>
    <row r="161" ht="24.4" customHeight="1" spans="1:13">
      <c r="A161" s="5">
        <f>$A$6</f>
        <v>127045</v>
      </c>
      <c r="B161" s="5" t="s">
        <v>429</v>
      </c>
      <c r="C161" s="6">
        <f>VLOOKUP(B161,'22专项清单'!B:C,2,0)</f>
        <v>0</v>
      </c>
      <c r="D161" s="5" t="s">
        <v>530</v>
      </c>
      <c r="E161" s="15" t="s">
        <v>450</v>
      </c>
      <c r="F161" s="15" t="s">
        <v>451</v>
      </c>
      <c r="G161" s="5" t="s">
        <v>452</v>
      </c>
      <c r="H161" s="5" t="s">
        <v>453</v>
      </c>
      <c r="I161" s="5"/>
      <c r="J161" s="5"/>
      <c r="K161" s="5" t="s">
        <v>454</v>
      </c>
      <c r="L161" s="5" t="s">
        <v>455</v>
      </c>
      <c r="M161" s="5"/>
    </row>
    <row r="162" ht="24.4" customHeight="1" spans="1:13">
      <c r="A162" s="5"/>
      <c r="B162" s="5"/>
      <c r="C162" s="6"/>
      <c r="D162" s="5"/>
      <c r="E162" s="15"/>
      <c r="F162" s="15" t="s">
        <v>456</v>
      </c>
      <c r="G162" s="5"/>
      <c r="H162" s="5"/>
      <c r="I162" s="5"/>
      <c r="J162" s="5"/>
      <c r="K162" s="5"/>
      <c r="L162" s="5"/>
      <c r="M162" s="5"/>
    </row>
    <row r="163" ht="24.4" customHeight="1" spans="1:13">
      <c r="A163" s="5"/>
      <c r="B163" s="5"/>
      <c r="C163" s="6"/>
      <c r="D163" s="5"/>
      <c r="E163" s="15"/>
      <c r="F163" s="15" t="s">
        <v>457</v>
      </c>
      <c r="G163" s="5"/>
      <c r="H163" s="5"/>
      <c r="I163" s="5"/>
      <c r="J163" s="5"/>
      <c r="K163" s="5"/>
      <c r="L163" s="5"/>
      <c r="M163" s="5"/>
    </row>
    <row r="164" ht="24.4" customHeight="1" spans="1:13">
      <c r="A164" s="5"/>
      <c r="B164" s="5"/>
      <c r="C164" s="6"/>
      <c r="D164" s="5"/>
      <c r="E164" s="15" t="s">
        <v>458</v>
      </c>
      <c r="F164" s="15" t="s">
        <v>459</v>
      </c>
      <c r="G164" s="5"/>
      <c r="H164" s="5"/>
      <c r="I164" s="5"/>
      <c r="J164" s="5"/>
      <c r="K164" s="5"/>
      <c r="L164" s="5"/>
      <c r="M164" s="5"/>
    </row>
    <row r="165" ht="24.4" customHeight="1" spans="1:13">
      <c r="A165" s="5"/>
      <c r="B165" s="5"/>
      <c r="C165" s="6"/>
      <c r="D165" s="5"/>
      <c r="E165" s="15"/>
      <c r="F165" s="15" t="s">
        <v>460</v>
      </c>
      <c r="G165" s="5" t="s">
        <v>531</v>
      </c>
      <c r="H165" s="5" t="s">
        <v>453</v>
      </c>
      <c r="I165" s="5"/>
      <c r="J165" s="5"/>
      <c r="K165" s="5" t="s">
        <v>454</v>
      </c>
      <c r="L165" s="5" t="s">
        <v>455</v>
      </c>
      <c r="M165" s="5"/>
    </row>
    <row r="166" ht="24.4" customHeight="1" spans="1:13">
      <c r="A166" s="5"/>
      <c r="B166" s="5"/>
      <c r="C166" s="6"/>
      <c r="D166" s="5"/>
      <c r="E166" s="15"/>
      <c r="F166" s="15" t="s">
        <v>464</v>
      </c>
      <c r="G166" s="5"/>
      <c r="H166" s="5"/>
      <c r="I166" s="5"/>
      <c r="J166" s="5"/>
      <c r="K166" s="5"/>
      <c r="L166" s="5"/>
      <c r="M166" s="5"/>
    </row>
    <row r="167" ht="24.4" customHeight="1" spans="1:13">
      <c r="A167" s="5"/>
      <c r="B167" s="5"/>
      <c r="C167" s="6"/>
      <c r="D167" s="5"/>
      <c r="E167" s="15" t="s">
        <v>469</v>
      </c>
      <c r="F167" s="15" t="s">
        <v>470</v>
      </c>
      <c r="G167" s="5"/>
      <c r="H167" s="5"/>
      <c r="I167" s="5"/>
      <c r="J167" s="5"/>
      <c r="K167" s="5"/>
      <c r="L167" s="5"/>
      <c r="M167" s="5"/>
    </row>
    <row r="168" ht="24.4" customHeight="1" spans="1:13">
      <c r="A168" s="5"/>
      <c r="B168" s="5"/>
      <c r="C168" s="6"/>
      <c r="D168" s="5"/>
      <c r="E168" s="15"/>
      <c r="F168" s="15" t="s">
        <v>471</v>
      </c>
      <c r="G168" s="5" t="s">
        <v>532</v>
      </c>
      <c r="H168" s="5" t="s">
        <v>453</v>
      </c>
      <c r="I168" s="5"/>
      <c r="J168" s="5"/>
      <c r="K168" s="5" t="s">
        <v>454</v>
      </c>
      <c r="L168" s="5" t="s">
        <v>455</v>
      </c>
      <c r="M168" s="5"/>
    </row>
    <row r="169" ht="24.4" customHeight="1" spans="1:13">
      <c r="A169" s="5"/>
      <c r="B169" s="5"/>
      <c r="C169" s="6"/>
      <c r="D169" s="5"/>
      <c r="E169" s="15"/>
      <c r="F169" s="15" t="s">
        <v>472</v>
      </c>
      <c r="G169" s="5"/>
      <c r="H169" s="5"/>
      <c r="I169" s="5"/>
      <c r="J169" s="5"/>
      <c r="K169" s="5"/>
      <c r="L169" s="5"/>
      <c r="M169" s="5"/>
    </row>
    <row r="170" ht="24.4" customHeight="1" spans="1:13">
      <c r="A170" s="5"/>
      <c r="B170" s="5"/>
      <c r="C170" s="6"/>
      <c r="D170" s="5"/>
      <c r="E170" s="15"/>
      <c r="F170" s="15" t="s">
        <v>474</v>
      </c>
      <c r="G170" s="5"/>
      <c r="H170" s="5"/>
      <c r="I170" s="5"/>
      <c r="J170" s="5"/>
      <c r="K170" s="5"/>
      <c r="L170" s="5"/>
      <c r="M170" s="5"/>
    </row>
    <row r="171" ht="24.4" customHeight="1" spans="1:13">
      <c r="A171" s="5"/>
      <c r="B171" s="5"/>
      <c r="C171" s="6"/>
      <c r="D171" s="5"/>
      <c r="E171" s="15" t="s">
        <v>475</v>
      </c>
      <c r="F171" s="15" t="s">
        <v>476</v>
      </c>
      <c r="G171" s="5" t="s">
        <v>520</v>
      </c>
      <c r="H171" s="5" t="s">
        <v>485</v>
      </c>
      <c r="I171" s="5"/>
      <c r="J171" s="5"/>
      <c r="K171" s="5" t="s">
        <v>454</v>
      </c>
      <c r="L171" s="5" t="s">
        <v>455</v>
      </c>
      <c r="M171" s="5"/>
    </row>
    <row r="172" ht="24.4" customHeight="1" spans="1:13">
      <c r="A172" s="5">
        <f>$A$6</f>
        <v>127045</v>
      </c>
      <c r="B172" s="5" t="s">
        <v>430</v>
      </c>
      <c r="C172" s="6">
        <f>VLOOKUP(B172,'22专项清单'!B:C,2,0)</f>
        <v>0</v>
      </c>
      <c r="D172" s="5" t="s">
        <v>430</v>
      </c>
      <c r="E172" s="15" t="s">
        <v>450</v>
      </c>
      <c r="F172" s="15" t="s">
        <v>451</v>
      </c>
      <c r="G172" s="5" t="s">
        <v>452</v>
      </c>
      <c r="H172" s="5" t="s">
        <v>453</v>
      </c>
      <c r="I172" s="5"/>
      <c r="J172" s="5"/>
      <c r="K172" s="5" t="s">
        <v>454</v>
      </c>
      <c r="L172" s="5" t="s">
        <v>455</v>
      </c>
      <c r="M172" s="5"/>
    </row>
    <row r="173" ht="24.4" customHeight="1" spans="1:13">
      <c r="A173" s="5"/>
      <c r="B173" s="5"/>
      <c r="C173" s="6"/>
      <c r="D173" s="5"/>
      <c r="E173" s="15"/>
      <c r="F173" s="15" t="s">
        <v>456</v>
      </c>
      <c r="G173" s="5"/>
      <c r="H173" s="5"/>
      <c r="I173" s="5"/>
      <c r="J173" s="5"/>
      <c r="K173" s="5"/>
      <c r="L173" s="5"/>
      <c r="M173" s="5"/>
    </row>
    <row r="174" ht="24.4" customHeight="1" spans="1:13">
      <c r="A174" s="5"/>
      <c r="B174" s="5"/>
      <c r="C174" s="6"/>
      <c r="D174" s="5"/>
      <c r="E174" s="15"/>
      <c r="F174" s="15" t="s">
        <v>457</v>
      </c>
      <c r="G174" s="5"/>
      <c r="H174" s="5"/>
      <c r="I174" s="5"/>
      <c r="J174" s="5"/>
      <c r="K174" s="5"/>
      <c r="L174" s="5"/>
      <c r="M174" s="5"/>
    </row>
    <row r="175" ht="24.4" customHeight="1" spans="1:13">
      <c r="A175" s="5"/>
      <c r="B175" s="5"/>
      <c r="C175" s="6"/>
      <c r="D175" s="5"/>
      <c r="E175" s="15" t="s">
        <v>458</v>
      </c>
      <c r="F175" s="15" t="s">
        <v>459</v>
      </c>
      <c r="G175" s="5"/>
      <c r="H175" s="5"/>
      <c r="I175" s="5"/>
      <c r="J175" s="5"/>
      <c r="K175" s="5"/>
      <c r="L175" s="5"/>
      <c r="M175" s="5"/>
    </row>
    <row r="176" ht="24.4" customHeight="1" spans="1:13">
      <c r="A176" s="5"/>
      <c r="B176" s="5"/>
      <c r="C176" s="6"/>
      <c r="D176" s="5"/>
      <c r="E176" s="15"/>
      <c r="F176" s="15" t="s">
        <v>460</v>
      </c>
      <c r="G176" s="5"/>
      <c r="H176" s="5"/>
      <c r="I176" s="5"/>
      <c r="J176" s="5"/>
      <c r="K176" s="5"/>
      <c r="L176" s="5"/>
      <c r="M176" s="5"/>
    </row>
    <row r="177" ht="24.4" customHeight="1" spans="1:13">
      <c r="A177" s="5"/>
      <c r="B177" s="5"/>
      <c r="C177" s="6"/>
      <c r="D177" s="5"/>
      <c r="E177" s="15"/>
      <c r="F177" s="15" t="s">
        <v>464</v>
      </c>
      <c r="G177" s="5" t="s">
        <v>465</v>
      </c>
      <c r="H177" s="5" t="s">
        <v>466</v>
      </c>
      <c r="I177" s="5"/>
      <c r="J177" s="5"/>
      <c r="K177" s="5" t="s">
        <v>467</v>
      </c>
      <c r="L177" s="5" t="s">
        <v>468</v>
      </c>
      <c r="M177" s="5"/>
    </row>
    <row r="178" ht="24.4" customHeight="1" spans="1:13">
      <c r="A178" s="5"/>
      <c r="B178" s="5"/>
      <c r="C178" s="6"/>
      <c r="D178" s="5"/>
      <c r="E178" s="15" t="s">
        <v>469</v>
      </c>
      <c r="F178" s="15" t="s">
        <v>470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471</v>
      </c>
      <c r="G179" s="5"/>
      <c r="H179" s="5"/>
      <c r="I179" s="5"/>
      <c r="J179" s="5"/>
      <c r="K179" s="5"/>
      <c r="L179" s="5"/>
      <c r="M179" s="5"/>
    </row>
    <row r="180" ht="24.4" customHeight="1" spans="1:13">
      <c r="A180" s="5"/>
      <c r="B180" s="5"/>
      <c r="C180" s="6"/>
      <c r="D180" s="5"/>
      <c r="E180" s="15"/>
      <c r="F180" s="15" t="s">
        <v>472</v>
      </c>
      <c r="G180" s="5" t="s">
        <v>533</v>
      </c>
      <c r="H180" s="5" t="s">
        <v>453</v>
      </c>
      <c r="I180" s="5"/>
      <c r="J180" s="5"/>
      <c r="K180" s="5" t="s">
        <v>454</v>
      </c>
      <c r="L180" s="5" t="s">
        <v>455</v>
      </c>
      <c r="M180" s="5"/>
    </row>
    <row r="181" ht="24.4" customHeight="1" spans="1:13">
      <c r="A181" s="5"/>
      <c r="B181" s="5"/>
      <c r="C181" s="6"/>
      <c r="D181" s="5"/>
      <c r="E181" s="15"/>
      <c r="F181" s="15" t="s">
        <v>474</v>
      </c>
      <c r="G181" s="5"/>
      <c r="H181" s="5"/>
      <c r="I181" s="5"/>
      <c r="J181" s="5"/>
      <c r="K181" s="5"/>
      <c r="L181" s="5"/>
      <c r="M181" s="5"/>
    </row>
    <row r="182" ht="24.4" customHeight="1" spans="1:13">
      <c r="A182" s="5"/>
      <c r="B182" s="5"/>
      <c r="C182" s="6"/>
      <c r="D182" s="5"/>
      <c r="E182" s="15" t="s">
        <v>475</v>
      </c>
      <c r="F182" s="15" t="s">
        <v>476</v>
      </c>
      <c r="G182" s="5" t="s">
        <v>523</v>
      </c>
      <c r="H182" s="5" t="s">
        <v>453</v>
      </c>
      <c r="I182" s="5"/>
      <c r="J182" s="5"/>
      <c r="K182" s="5" t="s">
        <v>454</v>
      </c>
      <c r="L182" s="5" t="s">
        <v>455</v>
      </c>
      <c r="M182" s="5"/>
    </row>
    <row r="183" ht="24.4" customHeight="1" spans="1:13">
      <c r="A183" s="5">
        <f>$A$6</f>
        <v>127045</v>
      </c>
      <c r="B183" s="5" t="s">
        <v>431</v>
      </c>
      <c r="C183" s="6">
        <f>VLOOKUP(B183,'22专项清单'!B:C,2,0)</f>
        <v>16.8</v>
      </c>
      <c r="D183" s="5" t="s">
        <v>431</v>
      </c>
      <c r="E183" s="15" t="s">
        <v>450</v>
      </c>
      <c r="F183" s="15" t="s">
        <v>451</v>
      </c>
      <c r="G183" s="5" t="s">
        <v>452</v>
      </c>
      <c r="H183" s="5" t="s">
        <v>485</v>
      </c>
      <c r="I183" s="5"/>
      <c r="J183" s="5"/>
      <c r="K183" s="5" t="s">
        <v>454</v>
      </c>
      <c r="L183" s="5" t="s">
        <v>455</v>
      </c>
      <c r="M183" s="5"/>
    </row>
    <row r="184" ht="24.4" customHeight="1" spans="1:13">
      <c r="A184" s="5"/>
      <c r="B184" s="5"/>
      <c r="C184" s="6"/>
      <c r="D184" s="5"/>
      <c r="E184" s="15"/>
      <c r="F184" s="15" t="s">
        <v>456</v>
      </c>
      <c r="G184" s="5"/>
      <c r="H184" s="5"/>
      <c r="I184" s="5"/>
      <c r="J184" s="5"/>
      <c r="K184" s="5"/>
      <c r="L184" s="5"/>
      <c r="M184" s="5"/>
    </row>
    <row r="185" ht="24.4" customHeight="1" spans="1:13">
      <c r="A185" s="5"/>
      <c r="B185" s="5"/>
      <c r="C185" s="6"/>
      <c r="D185" s="5"/>
      <c r="E185" s="15"/>
      <c r="F185" s="15" t="s">
        <v>457</v>
      </c>
      <c r="G185" s="5"/>
      <c r="H185" s="5"/>
      <c r="I185" s="5"/>
      <c r="J185" s="5"/>
      <c r="K185" s="5"/>
      <c r="L185" s="5"/>
      <c r="M185" s="5"/>
    </row>
    <row r="186" ht="24.4" customHeight="1" spans="1:13">
      <c r="A186" s="5"/>
      <c r="B186" s="5"/>
      <c r="C186" s="6"/>
      <c r="D186" s="5"/>
      <c r="E186" s="15" t="s">
        <v>458</v>
      </c>
      <c r="F186" s="15" t="s">
        <v>459</v>
      </c>
      <c r="G186" s="5"/>
      <c r="H186" s="5"/>
      <c r="I186" s="5"/>
      <c r="J186" s="5"/>
      <c r="K186" s="5"/>
      <c r="L186" s="5"/>
      <c r="M186" s="5"/>
    </row>
    <row r="187" ht="24.4" customHeight="1" spans="1:13">
      <c r="A187" s="5"/>
      <c r="B187" s="5"/>
      <c r="C187" s="6"/>
      <c r="D187" s="5"/>
      <c r="E187" s="15"/>
      <c r="F187" s="15" t="s">
        <v>460</v>
      </c>
      <c r="G187" s="5"/>
      <c r="H187" s="5"/>
      <c r="I187" s="5"/>
      <c r="J187" s="5"/>
      <c r="K187" s="5"/>
      <c r="L187" s="5"/>
      <c r="M187" s="5"/>
    </row>
    <row r="188" ht="24.4" customHeight="1" spans="1:13">
      <c r="A188" s="5"/>
      <c r="B188" s="5"/>
      <c r="C188" s="6"/>
      <c r="D188" s="5"/>
      <c r="E188" s="15"/>
      <c r="F188" s="15" t="s">
        <v>464</v>
      </c>
      <c r="G188" s="5" t="s">
        <v>534</v>
      </c>
      <c r="H188" s="5" t="s">
        <v>466</v>
      </c>
      <c r="I188" s="5"/>
      <c r="J188" s="5"/>
      <c r="K188" s="5" t="s">
        <v>467</v>
      </c>
      <c r="L188" s="5" t="s">
        <v>483</v>
      </c>
      <c r="M188" s="5"/>
    </row>
    <row r="189" ht="24.4" customHeight="1" spans="1:13">
      <c r="A189" s="5"/>
      <c r="B189" s="5"/>
      <c r="C189" s="6"/>
      <c r="D189" s="5"/>
      <c r="E189" s="15" t="s">
        <v>469</v>
      </c>
      <c r="F189" s="15" t="s">
        <v>470</v>
      </c>
      <c r="G189" s="5"/>
      <c r="H189" s="5"/>
      <c r="I189" s="5"/>
      <c r="J189" s="5"/>
      <c r="K189" s="5"/>
      <c r="L189" s="5"/>
      <c r="M189" s="5"/>
    </row>
    <row r="190" ht="24.4" customHeight="1" spans="1:13">
      <c r="A190" s="5"/>
      <c r="B190" s="5"/>
      <c r="C190" s="6"/>
      <c r="D190" s="5"/>
      <c r="E190" s="15"/>
      <c r="F190" s="15" t="s">
        <v>471</v>
      </c>
      <c r="G190" s="5" t="s">
        <v>500</v>
      </c>
      <c r="H190" s="5" t="s">
        <v>462</v>
      </c>
      <c r="I190" s="5"/>
      <c r="J190" s="5"/>
      <c r="K190" s="5" t="s">
        <v>454</v>
      </c>
      <c r="L190" s="5" t="s">
        <v>468</v>
      </c>
      <c r="M190" s="5"/>
    </row>
    <row r="191" ht="24.4" customHeight="1" spans="1:13">
      <c r="A191" s="5"/>
      <c r="B191" s="5"/>
      <c r="C191" s="6"/>
      <c r="D191" s="5"/>
      <c r="E191" s="15"/>
      <c r="F191" s="15" t="s">
        <v>472</v>
      </c>
      <c r="G191" s="5"/>
      <c r="H191" s="5"/>
      <c r="I191" s="5"/>
      <c r="J191" s="5"/>
      <c r="K191" s="5"/>
      <c r="L191" s="5"/>
      <c r="M191" s="5"/>
    </row>
    <row r="192" ht="24.4" customHeight="1" spans="1:13">
      <c r="A192" s="5"/>
      <c r="B192" s="5"/>
      <c r="C192" s="6"/>
      <c r="D192" s="5"/>
      <c r="E192" s="15"/>
      <c r="F192" s="15" t="s">
        <v>474</v>
      </c>
      <c r="G192" s="5"/>
      <c r="H192" s="5"/>
      <c r="I192" s="5"/>
      <c r="J192" s="5"/>
      <c r="K192" s="5"/>
      <c r="L192" s="5"/>
      <c r="M192" s="5"/>
    </row>
    <row r="193" ht="24.4" customHeight="1" spans="1:13">
      <c r="A193" s="5"/>
      <c r="B193" s="5"/>
      <c r="C193" s="6"/>
      <c r="D193" s="5"/>
      <c r="E193" s="15" t="s">
        <v>475</v>
      </c>
      <c r="F193" s="15" t="s">
        <v>476</v>
      </c>
      <c r="G193" s="5" t="s">
        <v>477</v>
      </c>
      <c r="H193" s="5" t="s">
        <v>485</v>
      </c>
      <c r="I193" s="5"/>
      <c r="J193" s="5"/>
      <c r="K193" s="5" t="s">
        <v>454</v>
      </c>
      <c r="L193" s="5" t="s">
        <v>455</v>
      </c>
      <c r="M193" s="5"/>
    </row>
    <row r="194" ht="24.4" customHeight="1" spans="1:13">
      <c r="A194" s="5">
        <f>$A$6</f>
        <v>127045</v>
      </c>
      <c r="B194" s="5" t="s">
        <v>432</v>
      </c>
      <c r="C194" s="6">
        <f>VLOOKUP(B194,'22专项清单'!B:C,2,0)</f>
        <v>0</v>
      </c>
      <c r="D194" s="5" t="s">
        <v>432</v>
      </c>
      <c r="E194" s="15" t="s">
        <v>450</v>
      </c>
      <c r="F194" s="15" t="s">
        <v>451</v>
      </c>
      <c r="G194" s="5" t="s">
        <v>452</v>
      </c>
      <c r="H194" s="5" t="s">
        <v>502</v>
      </c>
      <c r="I194" s="5"/>
      <c r="J194" s="5"/>
      <c r="K194" s="5" t="s">
        <v>454</v>
      </c>
      <c r="L194" s="5" t="s">
        <v>455</v>
      </c>
      <c r="M194" s="5"/>
    </row>
    <row r="195" ht="24.4" customHeight="1" spans="1:13">
      <c r="A195" s="5"/>
      <c r="B195" s="5"/>
      <c r="C195" s="6"/>
      <c r="D195" s="5"/>
      <c r="E195" s="15"/>
      <c r="F195" s="15" t="s">
        <v>456</v>
      </c>
      <c r="G195" s="5"/>
      <c r="H195" s="5"/>
      <c r="I195" s="5"/>
      <c r="J195" s="5"/>
      <c r="K195" s="5"/>
      <c r="L195" s="5"/>
      <c r="M195" s="5"/>
    </row>
    <row r="196" ht="24.4" customHeight="1" spans="1:13">
      <c r="A196" s="5"/>
      <c r="B196" s="5"/>
      <c r="C196" s="6"/>
      <c r="D196" s="5"/>
      <c r="E196" s="15"/>
      <c r="F196" s="15" t="s">
        <v>457</v>
      </c>
      <c r="G196" s="5"/>
      <c r="H196" s="5"/>
      <c r="I196" s="5"/>
      <c r="J196" s="5"/>
      <c r="K196" s="5"/>
      <c r="L196" s="5"/>
      <c r="M196" s="5"/>
    </row>
    <row r="197" ht="24.4" customHeight="1" spans="1:13">
      <c r="A197" s="5"/>
      <c r="B197" s="5"/>
      <c r="C197" s="6"/>
      <c r="D197" s="5"/>
      <c r="E197" s="15" t="s">
        <v>458</v>
      </c>
      <c r="F197" s="15" t="s">
        <v>459</v>
      </c>
      <c r="G197" s="5"/>
      <c r="H197" s="5"/>
      <c r="I197" s="5"/>
      <c r="J197" s="5"/>
      <c r="K197" s="5"/>
      <c r="L197" s="5"/>
      <c r="M197" s="5"/>
    </row>
    <row r="198" ht="24.4" customHeight="1" spans="1:13">
      <c r="A198" s="5"/>
      <c r="B198" s="5"/>
      <c r="C198" s="6"/>
      <c r="D198" s="5"/>
      <c r="E198" s="15"/>
      <c r="F198" s="15" t="s">
        <v>460</v>
      </c>
      <c r="G198" s="5"/>
      <c r="H198" s="5"/>
      <c r="I198" s="5"/>
      <c r="J198" s="5"/>
      <c r="K198" s="5"/>
      <c r="L198" s="5"/>
      <c r="M198" s="5"/>
    </row>
    <row r="199" ht="24.4" customHeight="1" spans="1:13">
      <c r="A199" s="5"/>
      <c r="B199" s="5"/>
      <c r="C199" s="6"/>
      <c r="D199" s="5"/>
      <c r="E199" s="15"/>
      <c r="F199" s="15" t="s">
        <v>464</v>
      </c>
      <c r="G199" s="5" t="s">
        <v>491</v>
      </c>
      <c r="H199" s="5" t="s">
        <v>462</v>
      </c>
      <c r="I199" s="5"/>
      <c r="J199" s="5"/>
      <c r="K199" s="5" t="s">
        <v>454</v>
      </c>
      <c r="L199" s="5" t="s">
        <v>468</v>
      </c>
      <c r="M199" s="5"/>
    </row>
    <row r="200" ht="24.4" customHeight="1" spans="1:13">
      <c r="A200" s="5"/>
      <c r="B200" s="5"/>
      <c r="C200" s="6"/>
      <c r="D200" s="5"/>
      <c r="E200" s="15" t="s">
        <v>469</v>
      </c>
      <c r="F200" s="15" t="s">
        <v>470</v>
      </c>
      <c r="G200" s="5"/>
      <c r="H200" s="5"/>
      <c r="I200" s="5"/>
      <c r="J200" s="5"/>
      <c r="K200" s="5"/>
      <c r="L200" s="5"/>
      <c r="M200" s="5"/>
    </row>
    <row r="201" ht="24.4" customHeight="1" spans="1:13">
      <c r="A201" s="5"/>
      <c r="B201" s="5"/>
      <c r="C201" s="6"/>
      <c r="D201" s="5"/>
      <c r="E201" s="15"/>
      <c r="F201" s="15" t="s">
        <v>471</v>
      </c>
      <c r="G201" s="5"/>
      <c r="H201" s="5"/>
      <c r="I201" s="5"/>
      <c r="J201" s="5"/>
      <c r="K201" s="5"/>
      <c r="L201" s="5"/>
      <c r="M201" s="5"/>
    </row>
    <row r="202" ht="24.4" customHeight="1" spans="1:13">
      <c r="A202" s="5"/>
      <c r="B202" s="5"/>
      <c r="C202" s="6"/>
      <c r="D202" s="5"/>
      <c r="E202" s="15"/>
      <c r="F202" s="15" t="s">
        <v>472</v>
      </c>
      <c r="G202" s="5" t="s">
        <v>535</v>
      </c>
      <c r="H202" s="5" t="s">
        <v>482</v>
      </c>
      <c r="I202" s="5"/>
      <c r="J202" s="5"/>
      <c r="K202" s="5" t="s">
        <v>482</v>
      </c>
      <c r="L202" s="5" t="s">
        <v>483</v>
      </c>
      <c r="M202" s="5"/>
    </row>
    <row r="203" ht="24.4" customHeight="1" spans="1:13">
      <c r="A203" s="5"/>
      <c r="B203" s="5"/>
      <c r="C203" s="6"/>
      <c r="D203" s="5"/>
      <c r="E203" s="15"/>
      <c r="F203" s="15" t="s">
        <v>474</v>
      </c>
      <c r="G203" s="5"/>
      <c r="H203" s="5"/>
      <c r="I203" s="5"/>
      <c r="J203" s="5"/>
      <c r="K203" s="5"/>
      <c r="L203" s="5"/>
      <c r="M203" s="5"/>
    </row>
    <row r="204" ht="24.4" customHeight="1" spans="1:13">
      <c r="A204" s="5"/>
      <c r="B204" s="5"/>
      <c r="C204" s="6"/>
      <c r="D204" s="5"/>
      <c r="E204" s="15" t="s">
        <v>475</v>
      </c>
      <c r="F204" s="15" t="s">
        <v>476</v>
      </c>
      <c r="G204" s="5" t="s">
        <v>477</v>
      </c>
      <c r="H204" s="5" t="s">
        <v>495</v>
      </c>
      <c r="I204" s="5"/>
      <c r="J204" s="5"/>
      <c r="K204" s="5" t="s">
        <v>454</v>
      </c>
      <c r="L204" s="5" t="s">
        <v>455</v>
      </c>
      <c r="M204" s="5"/>
    </row>
    <row r="205" ht="24.4" customHeight="1" spans="1:13">
      <c r="A205" s="5">
        <f>$A$6</f>
        <v>127045</v>
      </c>
      <c r="B205" s="5" t="s">
        <v>433</v>
      </c>
      <c r="C205" s="6">
        <f>VLOOKUP(B205,'22专项清单'!B:C,2,0)</f>
        <v>0</v>
      </c>
      <c r="D205" s="5" t="s">
        <v>433</v>
      </c>
      <c r="E205" s="15" t="s">
        <v>450</v>
      </c>
      <c r="F205" s="15" t="s">
        <v>451</v>
      </c>
      <c r="G205" s="5" t="s">
        <v>452</v>
      </c>
      <c r="H205" s="5" t="s">
        <v>453</v>
      </c>
      <c r="I205" s="5"/>
      <c r="J205" s="5"/>
      <c r="K205" s="5" t="s">
        <v>454</v>
      </c>
      <c r="L205" s="5" t="s">
        <v>455</v>
      </c>
      <c r="M205" s="5"/>
    </row>
    <row r="206" ht="24.4" customHeight="1" spans="1:13">
      <c r="A206" s="5"/>
      <c r="B206" s="5"/>
      <c r="C206" s="6"/>
      <c r="D206" s="5"/>
      <c r="E206" s="15"/>
      <c r="F206" s="15" t="s">
        <v>456</v>
      </c>
      <c r="G206" s="5"/>
      <c r="H206" s="5"/>
      <c r="I206" s="5"/>
      <c r="J206" s="5"/>
      <c r="K206" s="5"/>
      <c r="L206" s="5"/>
      <c r="M206" s="5"/>
    </row>
    <row r="207" ht="24.4" customHeight="1" spans="1:13">
      <c r="A207" s="5"/>
      <c r="B207" s="5"/>
      <c r="C207" s="6"/>
      <c r="D207" s="5"/>
      <c r="E207" s="15"/>
      <c r="F207" s="15" t="s">
        <v>457</v>
      </c>
      <c r="G207" s="5"/>
      <c r="H207" s="5"/>
      <c r="I207" s="5"/>
      <c r="J207" s="5"/>
      <c r="K207" s="5"/>
      <c r="L207" s="5"/>
      <c r="M207" s="5"/>
    </row>
    <row r="208" ht="24.4" customHeight="1" spans="1:13">
      <c r="A208" s="5"/>
      <c r="B208" s="5"/>
      <c r="C208" s="6"/>
      <c r="D208" s="5"/>
      <c r="E208" s="15" t="s">
        <v>458</v>
      </c>
      <c r="F208" s="15" t="s">
        <v>459</v>
      </c>
      <c r="G208" s="5"/>
      <c r="H208" s="5"/>
      <c r="I208" s="5"/>
      <c r="J208" s="5"/>
      <c r="K208" s="5"/>
      <c r="L208" s="5"/>
      <c r="M208" s="5"/>
    </row>
    <row r="209" ht="24.4" customHeight="1" spans="1:13">
      <c r="A209" s="5"/>
      <c r="B209" s="5"/>
      <c r="C209" s="6"/>
      <c r="D209" s="5"/>
      <c r="E209" s="15"/>
      <c r="F209" s="15" t="s">
        <v>460</v>
      </c>
      <c r="G209" s="5" t="s">
        <v>536</v>
      </c>
      <c r="H209" s="5" t="s">
        <v>537</v>
      </c>
      <c r="I209" s="5"/>
      <c r="J209" s="5"/>
      <c r="K209" s="5" t="s">
        <v>538</v>
      </c>
      <c r="L209" s="5" t="s">
        <v>468</v>
      </c>
      <c r="M209" s="5"/>
    </row>
    <row r="210" ht="24.4" customHeight="1" spans="1:13">
      <c r="A210" s="5"/>
      <c r="B210" s="5"/>
      <c r="C210" s="6"/>
      <c r="D210" s="5"/>
      <c r="E210" s="15"/>
      <c r="F210" s="15" t="s">
        <v>464</v>
      </c>
      <c r="G210" s="5"/>
      <c r="H210" s="5"/>
      <c r="I210" s="5"/>
      <c r="J210" s="5"/>
      <c r="K210" s="5"/>
      <c r="L210" s="5"/>
      <c r="M210" s="5"/>
    </row>
    <row r="211" ht="24.4" customHeight="1" spans="1:13">
      <c r="A211" s="5"/>
      <c r="B211" s="5"/>
      <c r="C211" s="6"/>
      <c r="D211" s="5"/>
      <c r="E211" s="15" t="s">
        <v>469</v>
      </c>
      <c r="F211" s="15" t="s">
        <v>470</v>
      </c>
      <c r="G211" s="5"/>
      <c r="H211" s="5"/>
      <c r="I211" s="5"/>
      <c r="J211" s="5"/>
      <c r="K211" s="5"/>
      <c r="L211" s="5"/>
      <c r="M211" s="5"/>
    </row>
    <row r="212" ht="24.4" customHeight="1" spans="1:13">
      <c r="A212" s="5"/>
      <c r="B212" s="5"/>
      <c r="C212" s="6"/>
      <c r="D212" s="5"/>
      <c r="E212" s="15"/>
      <c r="F212" s="15" t="s">
        <v>471</v>
      </c>
      <c r="G212" s="5" t="s">
        <v>539</v>
      </c>
      <c r="H212" s="5" t="s">
        <v>462</v>
      </c>
      <c r="I212" s="5"/>
      <c r="J212" s="5"/>
      <c r="K212" s="5" t="s">
        <v>454</v>
      </c>
      <c r="L212" s="5" t="s">
        <v>468</v>
      </c>
      <c r="M212" s="5"/>
    </row>
    <row r="213" ht="24.4" customHeight="1" spans="1:13">
      <c r="A213" s="5"/>
      <c r="B213" s="5"/>
      <c r="C213" s="6"/>
      <c r="D213" s="5"/>
      <c r="E213" s="15"/>
      <c r="F213" s="15" t="s">
        <v>472</v>
      </c>
      <c r="G213" s="5"/>
      <c r="H213" s="5"/>
      <c r="I213" s="5"/>
      <c r="J213" s="5"/>
      <c r="K213" s="5"/>
      <c r="L213" s="5"/>
      <c r="M213" s="5"/>
    </row>
    <row r="214" ht="24.4" customHeight="1" spans="1:13">
      <c r="A214" s="5"/>
      <c r="B214" s="5"/>
      <c r="C214" s="6"/>
      <c r="D214" s="5"/>
      <c r="E214" s="15"/>
      <c r="F214" s="15" t="s">
        <v>474</v>
      </c>
      <c r="G214" s="5"/>
      <c r="H214" s="5"/>
      <c r="I214" s="5"/>
      <c r="J214" s="5"/>
      <c r="K214" s="5"/>
      <c r="L214" s="5"/>
      <c r="M214" s="5"/>
    </row>
    <row r="215" ht="24.4" customHeight="1" spans="1:13">
      <c r="A215" s="5"/>
      <c r="B215" s="5"/>
      <c r="C215" s="6"/>
      <c r="D215" s="5"/>
      <c r="E215" s="15" t="s">
        <v>475</v>
      </c>
      <c r="F215" s="15" t="s">
        <v>476</v>
      </c>
      <c r="G215" s="5" t="s">
        <v>477</v>
      </c>
      <c r="H215" s="5" t="s">
        <v>502</v>
      </c>
      <c r="I215" s="5"/>
      <c r="J215" s="5"/>
      <c r="K215" s="5" t="s">
        <v>454</v>
      </c>
      <c r="L215" s="5" t="s">
        <v>455</v>
      </c>
      <c r="M215" s="5"/>
    </row>
    <row r="216" ht="24.4" customHeight="1" spans="1:13">
      <c r="A216" s="5">
        <f>$A$6</f>
        <v>127045</v>
      </c>
      <c r="B216" s="5" t="s">
        <v>434</v>
      </c>
      <c r="C216" s="6">
        <f>VLOOKUP(B216,'22专项清单'!B:C,2,0)</f>
        <v>0</v>
      </c>
      <c r="D216" s="5" t="s">
        <v>434</v>
      </c>
      <c r="E216" s="15" t="s">
        <v>450</v>
      </c>
      <c r="F216" s="15" t="s">
        <v>451</v>
      </c>
      <c r="G216" s="5" t="s">
        <v>452</v>
      </c>
      <c r="H216" s="5" t="s">
        <v>453</v>
      </c>
      <c r="I216" s="5"/>
      <c r="J216" s="5"/>
      <c r="K216" s="5" t="s">
        <v>454</v>
      </c>
      <c r="L216" s="5" t="s">
        <v>455</v>
      </c>
      <c r="M216" s="5"/>
    </row>
    <row r="217" ht="24.4" customHeight="1" spans="1:13">
      <c r="A217" s="5"/>
      <c r="B217" s="5"/>
      <c r="C217" s="6"/>
      <c r="D217" s="5"/>
      <c r="E217" s="15"/>
      <c r="F217" s="15" t="s">
        <v>456</v>
      </c>
      <c r="G217" s="5"/>
      <c r="H217" s="5"/>
      <c r="I217" s="5"/>
      <c r="J217" s="5"/>
      <c r="K217" s="5"/>
      <c r="L217" s="5"/>
      <c r="M217" s="5"/>
    </row>
    <row r="218" ht="24.4" customHeight="1" spans="1:13">
      <c r="A218" s="5"/>
      <c r="B218" s="5"/>
      <c r="C218" s="6"/>
      <c r="D218" s="5"/>
      <c r="E218" s="15"/>
      <c r="F218" s="15" t="s">
        <v>457</v>
      </c>
      <c r="G218" s="5"/>
      <c r="H218" s="5"/>
      <c r="I218" s="5"/>
      <c r="J218" s="5"/>
      <c r="K218" s="5"/>
      <c r="L218" s="5"/>
      <c r="M218" s="5"/>
    </row>
    <row r="219" ht="24.4" customHeight="1" spans="1:13">
      <c r="A219" s="5"/>
      <c r="B219" s="5"/>
      <c r="C219" s="6"/>
      <c r="D219" s="5"/>
      <c r="E219" s="15" t="s">
        <v>458</v>
      </c>
      <c r="F219" s="15" t="s">
        <v>459</v>
      </c>
      <c r="G219" s="5" t="s">
        <v>540</v>
      </c>
      <c r="H219" s="5" t="s">
        <v>541</v>
      </c>
      <c r="I219" s="5"/>
      <c r="J219" s="5"/>
      <c r="K219" s="5" t="s">
        <v>538</v>
      </c>
      <c r="L219" s="5" t="s">
        <v>468</v>
      </c>
      <c r="M219" s="5"/>
    </row>
    <row r="220" ht="24.4" customHeight="1" spans="1:13">
      <c r="A220" s="5"/>
      <c r="B220" s="5"/>
      <c r="C220" s="6"/>
      <c r="D220" s="5"/>
      <c r="E220" s="15"/>
      <c r="F220" s="15" t="s">
        <v>460</v>
      </c>
      <c r="G220" s="5"/>
      <c r="H220" s="5"/>
      <c r="I220" s="5"/>
      <c r="J220" s="5"/>
      <c r="K220" s="5"/>
      <c r="L220" s="5"/>
      <c r="M220" s="5"/>
    </row>
    <row r="221" ht="24.4" customHeight="1" spans="1:13">
      <c r="A221" s="5"/>
      <c r="B221" s="5"/>
      <c r="C221" s="6"/>
      <c r="D221" s="5"/>
      <c r="E221" s="15"/>
      <c r="F221" s="15" t="s">
        <v>464</v>
      </c>
      <c r="G221" s="5"/>
      <c r="H221" s="5"/>
      <c r="I221" s="5"/>
      <c r="J221" s="5"/>
      <c r="K221" s="5"/>
      <c r="L221" s="5"/>
      <c r="M221" s="5"/>
    </row>
    <row r="222" ht="24.4" customHeight="1" spans="1:13">
      <c r="A222" s="5"/>
      <c r="B222" s="5"/>
      <c r="C222" s="6"/>
      <c r="D222" s="5"/>
      <c r="E222" s="15" t="s">
        <v>469</v>
      </c>
      <c r="F222" s="15" t="s">
        <v>470</v>
      </c>
      <c r="G222" s="5"/>
      <c r="H222" s="5"/>
      <c r="I222" s="5"/>
      <c r="J222" s="5"/>
      <c r="K222" s="5"/>
      <c r="L222" s="5"/>
      <c r="M222" s="5"/>
    </row>
    <row r="223" ht="24.4" customHeight="1" spans="1:13">
      <c r="A223" s="5"/>
      <c r="B223" s="5"/>
      <c r="C223" s="6"/>
      <c r="D223" s="5"/>
      <c r="E223" s="15"/>
      <c r="F223" s="15" t="s">
        <v>471</v>
      </c>
      <c r="G223" s="5" t="s">
        <v>542</v>
      </c>
      <c r="H223" s="5" t="s">
        <v>485</v>
      </c>
      <c r="I223" s="5"/>
      <c r="J223" s="5"/>
      <c r="K223" s="5" t="s">
        <v>454</v>
      </c>
      <c r="L223" s="5" t="s">
        <v>455</v>
      </c>
      <c r="M223" s="5"/>
    </row>
    <row r="224" ht="24.4" customHeight="1" spans="1:13">
      <c r="A224" s="5"/>
      <c r="B224" s="5"/>
      <c r="C224" s="6"/>
      <c r="D224" s="5"/>
      <c r="E224" s="15"/>
      <c r="F224" s="15" t="s">
        <v>472</v>
      </c>
      <c r="G224" s="5"/>
      <c r="H224" s="5"/>
      <c r="I224" s="5"/>
      <c r="J224" s="5"/>
      <c r="K224" s="5"/>
      <c r="L224" s="5"/>
      <c r="M224" s="5"/>
    </row>
    <row r="225" ht="24.4" customHeight="1" spans="1:13">
      <c r="A225" s="5"/>
      <c r="B225" s="5"/>
      <c r="C225" s="6"/>
      <c r="D225" s="5"/>
      <c r="E225" s="15"/>
      <c r="F225" s="15" t="s">
        <v>474</v>
      </c>
      <c r="G225" s="5"/>
      <c r="H225" s="5"/>
      <c r="I225" s="5"/>
      <c r="J225" s="5"/>
      <c r="K225" s="5"/>
      <c r="L225" s="5"/>
      <c r="M225" s="5"/>
    </row>
    <row r="226" ht="24.4" customHeight="1" spans="1:13">
      <c r="A226" s="5"/>
      <c r="B226" s="5"/>
      <c r="C226" s="6"/>
      <c r="D226" s="5"/>
      <c r="E226" s="15" t="s">
        <v>475</v>
      </c>
      <c r="F226" s="15" t="s">
        <v>476</v>
      </c>
      <c r="G226" s="5" t="s">
        <v>477</v>
      </c>
      <c r="H226" s="5" t="s">
        <v>485</v>
      </c>
      <c r="I226" s="5"/>
      <c r="J226" s="5"/>
      <c r="K226" s="5" t="s">
        <v>454</v>
      </c>
      <c r="L226" s="5" t="s">
        <v>455</v>
      </c>
      <c r="M226" s="5"/>
    </row>
    <row r="227" ht="16.35" customHeight="1" spans="1:4">
      <c r="A227" s="7" t="s">
        <v>543</v>
      </c>
      <c r="B227" s="7"/>
      <c r="C227" s="7"/>
      <c r="D227" s="7"/>
    </row>
  </sheetData>
  <mergeCells count="149"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19" sqref="A19:H19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544</v>
      </c>
    </row>
    <row r="2" ht="42.25" customHeight="1" spans="1:19">
      <c r="A2" s="2" t="s">
        <v>545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'23项目支出绩效目标表'!A3</f>
        <v>部门：127045_益阳市赫山区世通学校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378</v>
      </c>
      <c r="B5" s="4" t="s">
        <v>379</v>
      </c>
      <c r="C5" s="4" t="s">
        <v>546</v>
      </c>
      <c r="D5" s="4"/>
      <c r="E5" s="4"/>
      <c r="F5" s="4"/>
      <c r="G5" s="4"/>
      <c r="H5" s="4"/>
      <c r="I5" s="4"/>
      <c r="J5" s="4" t="s">
        <v>547</v>
      </c>
      <c r="K5" s="4" t="s">
        <v>548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438</v>
      </c>
      <c r="D6" s="4" t="s">
        <v>549</v>
      </c>
      <c r="E6" s="4"/>
      <c r="F6" s="4"/>
      <c r="G6" s="4"/>
      <c r="H6" s="4" t="s">
        <v>550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551</v>
      </c>
      <c r="F7" s="4" t="s">
        <v>142</v>
      </c>
      <c r="G7" s="4" t="s">
        <v>552</v>
      </c>
      <c r="H7" s="4" t="s">
        <v>157</v>
      </c>
      <c r="I7" s="4" t="s">
        <v>158</v>
      </c>
      <c r="J7" s="4"/>
      <c r="K7" s="4" t="s">
        <v>441</v>
      </c>
      <c r="L7" s="4" t="s">
        <v>442</v>
      </c>
      <c r="M7" s="4" t="s">
        <v>443</v>
      </c>
      <c r="N7" s="4" t="s">
        <v>448</v>
      </c>
      <c r="O7" s="4" t="s">
        <v>444</v>
      </c>
      <c r="P7" s="4" t="s">
        <v>553</v>
      </c>
      <c r="Q7" s="4" t="s">
        <v>554</v>
      </c>
      <c r="R7" s="4" t="s">
        <v>555</v>
      </c>
      <c r="S7" s="4" t="s">
        <v>449</v>
      </c>
    </row>
    <row r="8" ht="19.8" customHeight="1" spans="1:19">
      <c r="A8" s="5">
        <f>'23项目支出绩效目标表'!A6</f>
        <v>127045</v>
      </c>
      <c r="B8" s="5" t="str">
        <f>'23项目支出绩效目标表'!B6</f>
        <v>益阳市赫山区世通学校</v>
      </c>
      <c r="C8" s="6">
        <f>D8+F8+G8</f>
        <v>2014.06814</v>
      </c>
      <c r="D8" s="6">
        <f>'1收支总表'!B6</f>
        <v>1868.84994</v>
      </c>
      <c r="E8" s="6"/>
      <c r="F8" s="6">
        <f>'1收支总表'!B23</f>
        <v>62.46</v>
      </c>
      <c r="G8" s="6">
        <f>'1收支总表'!B32</f>
        <v>82.7582</v>
      </c>
      <c r="H8" s="6">
        <f>'1收支总表'!F6</f>
        <v>1546.4688</v>
      </c>
      <c r="I8" s="6">
        <f>'1收支总表'!F10</f>
        <v>467.59934</v>
      </c>
      <c r="J8" s="5" t="s">
        <v>556</v>
      </c>
      <c r="K8" s="5" t="s">
        <v>450</v>
      </c>
      <c r="L8" s="5" t="s">
        <v>451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457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458</v>
      </c>
      <c r="L11" s="8" t="s">
        <v>459</v>
      </c>
      <c r="M11" s="5" t="s">
        <v>557</v>
      </c>
      <c r="N11" s="5"/>
      <c r="O11" s="5" t="s">
        <v>558</v>
      </c>
      <c r="P11" s="5"/>
      <c r="Q11" s="5" t="s">
        <v>559</v>
      </c>
      <c r="R11" s="5" t="s">
        <v>468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460</v>
      </c>
      <c r="M12" s="5" t="s">
        <v>560</v>
      </c>
      <c r="N12" s="5"/>
      <c r="O12" s="5" t="s">
        <v>485</v>
      </c>
      <c r="P12" s="5"/>
      <c r="Q12" s="5" t="s">
        <v>490</v>
      </c>
      <c r="R12" s="5" t="s">
        <v>468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464</v>
      </c>
      <c r="M13" s="5" t="s">
        <v>561</v>
      </c>
      <c r="N13" s="5"/>
      <c r="O13" s="5" t="s">
        <v>466</v>
      </c>
      <c r="P13" s="5"/>
      <c r="Q13" s="5" t="s">
        <v>467</v>
      </c>
      <c r="R13" s="5" t="s">
        <v>468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469</v>
      </c>
      <c r="L14" s="8" t="s">
        <v>470</v>
      </c>
      <c r="M14" s="5" t="s">
        <v>562</v>
      </c>
      <c r="N14" s="5"/>
      <c r="O14" s="5" t="s">
        <v>563</v>
      </c>
      <c r="P14" s="5"/>
      <c r="Q14" s="5" t="s">
        <v>563</v>
      </c>
      <c r="R14" s="5" t="s">
        <v>483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471</v>
      </c>
      <c r="M15" s="5" t="s">
        <v>564</v>
      </c>
      <c r="N15" s="5"/>
      <c r="O15" s="5" t="s">
        <v>565</v>
      </c>
      <c r="P15" s="5"/>
      <c r="Q15" s="5" t="s">
        <v>565</v>
      </c>
      <c r="R15" s="5" t="s">
        <v>483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472</v>
      </c>
      <c r="M16" s="5" t="s">
        <v>566</v>
      </c>
      <c r="N16" s="5"/>
      <c r="O16" s="5" t="s">
        <v>453</v>
      </c>
      <c r="P16" s="5"/>
      <c r="Q16" s="5" t="s">
        <v>490</v>
      </c>
      <c r="R16" s="5" t="s">
        <v>468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474</v>
      </c>
      <c r="M17" s="5" t="s">
        <v>567</v>
      </c>
      <c r="N17" s="5"/>
      <c r="O17" s="5" t="s">
        <v>462</v>
      </c>
      <c r="P17" s="5"/>
      <c r="Q17" s="5" t="s">
        <v>490</v>
      </c>
      <c r="R17" s="5" t="s">
        <v>468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475</v>
      </c>
      <c r="L18" s="8" t="s">
        <v>476</v>
      </c>
      <c r="M18" s="5" t="s">
        <v>568</v>
      </c>
      <c r="N18" s="5"/>
      <c r="O18" s="5" t="s">
        <v>502</v>
      </c>
      <c r="P18" s="5"/>
      <c r="Q18" s="5" t="s">
        <v>490</v>
      </c>
      <c r="R18" s="5" t="s">
        <v>468</v>
      </c>
      <c r="S18" s="5"/>
    </row>
    <row r="19" ht="16.35" customHeight="1" spans="1:8">
      <c r="A19" s="7" t="s">
        <v>543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❌</cp:lastModifiedBy>
  <dcterms:created xsi:type="dcterms:W3CDTF">2024-10-14T14:42:00Z</dcterms:created>
  <dcterms:modified xsi:type="dcterms:W3CDTF">2024-10-20T06:37:19Z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DAE802405D8B4A5984594FF87A4B6DA9_13</vt:lpwstr>
  </property>
  <property fmtid="{D5CDD505-2E9C-101B-9397-08002B2CF9AE}" pid="3" name="KSOProductBuildVer">
    <vt:lpwstr>2052-12.1.0.18608</vt:lpwstr>
  </property>
</Properties>
</file>